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VEDA_DERIVEX\Desktop\"/>
    </mc:Choice>
  </mc:AlternateContent>
  <xr:revisionPtr revIDLastSave="0" documentId="13_ncr:1_{B2AD93D4-30E7-4CDF-B0D3-521B7316D113}" xr6:coauthVersionLast="45" xr6:coauthVersionMax="45" xr10:uidLastSave="{00000000-0000-0000-0000-000000000000}"/>
  <bookViews>
    <workbookView xWindow="-120" yWindow="-120" windowWidth="20730" windowHeight="11160" firstSheet="1" activeTab="2" xr2:uid="{41BD12F4-BCA6-427D-96E1-5C8A47CD0B36}"/>
  </bookViews>
  <sheets>
    <sheet name="Calculo Promedio Ponderado" sheetId="3" r:id="rId1"/>
    <sheet name="Calculo ALFA" sheetId="4" r:id="rId2"/>
    <sheet name="Propuesta XM" sheetId="6" r:id="rId3"/>
  </sheets>
  <externalReferences>
    <externalReference r:id="rId4"/>
  </externalReferences>
  <definedNames>
    <definedName name="_xlnm._FilterDatabase" localSheetId="0" hidden="1">'Calculo Promedio Ponderado'!$A$1:$Q$35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59" i="6" l="1"/>
  <c r="S60" i="6"/>
  <c r="Y72" i="6"/>
  <c r="Y70" i="6"/>
  <c r="Y69" i="6"/>
  <c r="Q61" i="6"/>
  <c r="U60" i="6"/>
  <c r="T60" i="6"/>
  <c r="U59" i="6"/>
  <c r="T59" i="6"/>
  <c r="R59" i="6"/>
  <c r="Q59" i="6"/>
  <c r="T55" i="6"/>
  <c r="G58" i="6"/>
  <c r="H61" i="6"/>
  <c r="G61" i="6"/>
  <c r="F61" i="6"/>
  <c r="E61" i="6"/>
  <c r="D61" i="6"/>
  <c r="H60" i="6"/>
  <c r="G60" i="6"/>
  <c r="F60" i="6"/>
  <c r="E60" i="6"/>
  <c r="D60" i="6"/>
  <c r="H59" i="6"/>
  <c r="G59" i="6"/>
  <c r="G56" i="6"/>
  <c r="F59" i="6"/>
  <c r="E59" i="6"/>
  <c r="H56" i="6"/>
  <c r="G37" i="6"/>
  <c r="F37" i="6"/>
  <c r="G36" i="6"/>
  <c r="G35" i="6"/>
  <c r="F35" i="6"/>
  <c r="N7" i="6"/>
  <c r="N6" i="6"/>
  <c r="F56" i="6"/>
  <c r="E56" i="6"/>
  <c r="E37" i="6"/>
  <c r="F54" i="6"/>
  <c r="E54" i="6"/>
  <c r="Q38" i="6"/>
  <c r="U56" i="6"/>
  <c r="J13" i="6"/>
  <c r="F14" i="6"/>
  <c r="F9" i="6"/>
  <c r="F10" i="6"/>
  <c r="F13" i="6"/>
  <c r="J2" i="6"/>
  <c r="J3" i="6"/>
  <c r="J4" i="6"/>
  <c r="J5" i="6"/>
  <c r="J6" i="6"/>
  <c r="J7" i="6"/>
  <c r="J8" i="6"/>
  <c r="J9" i="6"/>
  <c r="J10" i="6"/>
  <c r="J11" i="6"/>
  <c r="J12" i="6"/>
  <c r="J14" i="6"/>
  <c r="F2" i="6"/>
  <c r="F3" i="6"/>
  <c r="F4" i="6"/>
  <c r="F5" i="6"/>
  <c r="F6" i="6"/>
  <c r="F7" i="6"/>
  <c r="F8" i="6"/>
  <c r="F11" i="6"/>
  <c r="F12" i="6"/>
  <c r="N14" i="6"/>
  <c r="R30" i="6"/>
  <c r="R31" i="6"/>
  <c r="R33" i="6"/>
  <c r="S56" i="6"/>
  <c r="N5" i="6"/>
  <c r="E33" i="6"/>
  <c r="E34" i="6"/>
  <c r="N2" i="6"/>
  <c r="D23" i="6"/>
  <c r="D24" i="6"/>
  <c r="D29" i="6"/>
  <c r="F55" i="6"/>
  <c r="F62" i="6"/>
  <c r="E55" i="6"/>
  <c r="E62" i="6"/>
  <c r="D55" i="6"/>
  <c r="D59" i="6"/>
  <c r="D54" i="6"/>
  <c r="D62" i="6"/>
  <c r="Q49" i="6"/>
  <c r="U58" i="6"/>
  <c r="T58" i="6"/>
  <c r="S58" i="6"/>
  <c r="Q43" i="6"/>
  <c r="U57" i="6"/>
  <c r="D42" i="6"/>
  <c r="T56" i="6"/>
  <c r="R55" i="6"/>
  <c r="D49" i="6"/>
  <c r="N10" i="6"/>
  <c r="N4" i="6"/>
  <c r="D33" i="6"/>
  <c r="D37" i="6"/>
  <c r="N13" i="6"/>
  <c r="Q30" i="6"/>
  <c r="Q33" i="6"/>
  <c r="J15" i="6"/>
  <c r="F15" i="6"/>
  <c r="N15" i="6"/>
  <c r="S32" i="6"/>
  <c r="S31" i="6"/>
  <c r="S30" i="6"/>
  <c r="N11" i="6"/>
  <c r="Q23" i="6"/>
  <c r="Q25" i="6"/>
  <c r="N12" i="6"/>
  <c r="R24" i="6"/>
  <c r="R23" i="6"/>
  <c r="F18" i="6"/>
  <c r="J18" i="6"/>
  <c r="O18" i="6"/>
  <c r="P18" i="6"/>
  <c r="N18" i="6"/>
  <c r="Q18" i="6"/>
  <c r="K18" i="6"/>
  <c r="G18" i="6"/>
  <c r="D18" i="6"/>
  <c r="B18" i="6"/>
  <c r="F17" i="6"/>
  <c r="J17" i="6"/>
  <c r="O17" i="6"/>
  <c r="P17" i="6"/>
  <c r="N17" i="6"/>
  <c r="Q17" i="6"/>
  <c r="K17" i="6"/>
  <c r="G17" i="6"/>
  <c r="D17" i="6"/>
  <c r="B17" i="6"/>
  <c r="F16" i="6"/>
  <c r="J16" i="6"/>
  <c r="O16" i="6"/>
  <c r="P16" i="6"/>
  <c r="N16" i="6"/>
  <c r="Q16" i="6"/>
  <c r="K16" i="6"/>
  <c r="G16" i="6"/>
  <c r="D16" i="6"/>
  <c r="B16" i="6"/>
  <c r="O13" i="6"/>
  <c r="O14" i="6"/>
  <c r="O15" i="6"/>
  <c r="P15" i="6"/>
  <c r="Q15" i="6"/>
  <c r="K15" i="6"/>
  <c r="G15" i="6"/>
  <c r="D15" i="6"/>
  <c r="B15" i="6"/>
  <c r="P14" i="6"/>
  <c r="Q14" i="6"/>
  <c r="K14" i="6"/>
  <c r="G14" i="6"/>
  <c r="D14" i="6"/>
  <c r="B14" i="6"/>
  <c r="P13" i="6"/>
  <c r="Q13" i="6"/>
  <c r="K13" i="6"/>
  <c r="G13" i="6"/>
  <c r="D13" i="6"/>
  <c r="B13" i="6"/>
  <c r="O11" i="6"/>
  <c r="O12" i="6"/>
  <c r="P12" i="6"/>
  <c r="Q12" i="6"/>
  <c r="K12" i="6"/>
  <c r="G12" i="6"/>
  <c r="D12" i="6"/>
  <c r="B12" i="6"/>
  <c r="P11" i="6"/>
  <c r="Q11" i="6"/>
  <c r="K11" i="6"/>
  <c r="G11" i="6"/>
  <c r="D11" i="6"/>
  <c r="B11" i="6"/>
  <c r="O9" i="6"/>
  <c r="O10" i="6"/>
  <c r="P10" i="6"/>
  <c r="Q10" i="6"/>
  <c r="K10" i="6"/>
  <c r="G10" i="6"/>
  <c r="D10" i="6"/>
  <c r="B10" i="6"/>
  <c r="P9" i="6"/>
  <c r="N9" i="6"/>
  <c r="Q9" i="6"/>
  <c r="K9" i="6"/>
  <c r="G9" i="6"/>
  <c r="D9" i="6"/>
  <c r="B9" i="6"/>
  <c r="O8" i="6"/>
  <c r="P8" i="6"/>
  <c r="N8" i="6"/>
  <c r="Q8" i="6"/>
  <c r="K8" i="6"/>
  <c r="G8" i="6"/>
  <c r="D8" i="6"/>
  <c r="B8" i="6"/>
  <c r="O4" i="6"/>
  <c r="O5" i="6"/>
  <c r="O6" i="6"/>
  <c r="O7" i="6"/>
  <c r="P7" i="6"/>
  <c r="Q7" i="6"/>
  <c r="K7" i="6"/>
  <c r="G7" i="6"/>
  <c r="D7" i="6"/>
  <c r="B7" i="6"/>
  <c r="P6" i="6"/>
  <c r="Q6" i="6"/>
  <c r="K6" i="6"/>
  <c r="G6" i="6"/>
  <c r="D6" i="6"/>
  <c r="B6" i="6"/>
  <c r="P5" i="6"/>
  <c r="Q5" i="6"/>
  <c r="K5" i="6"/>
  <c r="G5" i="6"/>
  <c r="D5" i="6"/>
  <c r="B5" i="6"/>
  <c r="P4" i="6"/>
  <c r="Q4" i="6"/>
  <c r="K4" i="6"/>
  <c r="G4" i="6"/>
  <c r="D4" i="6"/>
  <c r="B4" i="6"/>
  <c r="O3" i="6"/>
  <c r="P3" i="6"/>
  <c r="N3" i="6"/>
  <c r="Q3" i="6"/>
  <c r="K3" i="6"/>
  <c r="G3" i="6"/>
  <c r="D3" i="6"/>
  <c r="B3" i="6"/>
  <c r="O2" i="6"/>
  <c r="P2" i="6"/>
  <c r="Q2" i="6"/>
  <c r="K2" i="6"/>
  <c r="G2" i="6"/>
  <c r="D2" i="6"/>
  <c r="B2" i="6"/>
  <c r="D2" i="4"/>
  <c r="F2" i="4"/>
  <c r="B2" i="4"/>
  <c r="G2" i="4"/>
  <c r="J2" i="4"/>
  <c r="K2" i="4"/>
  <c r="N2" i="4"/>
  <c r="O2" i="4"/>
  <c r="B3" i="4"/>
  <c r="D3" i="4"/>
  <c r="F3" i="4"/>
  <c r="G3" i="4"/>
  <c r="J3" i="4"/>
  <c r="N3" i="4"/>
  <c r="K3" i="4"/>
  <c r="D4" i="4"/>
  <c r="F4" i="4"/>
  <c r="B4" i="4"/>
  <c r="G4" i="4"/>
  <c r="J4" i="4"/>
  <c r="K4" i="4"/>
  <c r="N4" i="4"/>
  <c r="O4" i="4"/>
  <c r="P5" i="4"/>
  <c r="B5" i="4"/>
  <c r="D5" i="4"/>
  <c r="F5" i="4"/>
  <c r="G5" i="4"/>
  <c r="J5" i="4"/>
  <c r="O5" i="4"/>
  <c r="K5" i="4"/>
  <c r="D6" i="4"/>
  <c r="F6" i="4"/>
  <c r="B6" i="4"/>
  <c r="G6" i="4"/>
  <c r="J6" i="4"/>
  <c r="K6" i="4"/>
  <c r="N6" i="4"/>
  <c r="O6" i="4"/>
  <c r="B7" i="4"/>
  <c r="D7" i="4"/>
  <c r="F7" i="4"/>
  <c r="G7" i="4"/>
  <c r="J7" i="4"/>
  <c r="O7" i="4"/>
  <c r="K7" i="4"/>
  <c r="D8" i="4"/>
  <c r="F8" i="4"/>
  <c r="B8" i="4"/>
  <c r="G8" i="4"/>
  <c r="J8" i="4"/>
  <c r="K8" i="4"/>
  <c r="N8" i="4"/>
  <c r="O8" i="4"/>
  <c r="B9" i="4"/>
  <c r="D9" i="4"/>
  <c r="F9" i="4"/>
  <c r="G9" i="4"/>
  <c r="J9" i="4"/>
  <c r="N9" i="4"/>
  <c r="K9" i="4"/>
  <c r="D10" i="4"/>
  <c r="F10" i="4"/>
  <c r="B10" i="4"/>
  <c r="G10" i="4"/>
  <c r="J10" i="4"/>
  <c r="K10" i="4"/>
  <c r="O10" i="4"/>
  <c r="B11" i="4"/>
  <c r="D11" i="4"/>
  <c r="F11" i="4"/>
  <c r="G11" i="4"/>
  <c r="J11" i="4"/>
  <c r="O11" i="4"/>
  <c r="P11" i="4"/>
  <c r="Q11" i="4"/>
  <c r="K11" i="4"/>
  <c r="N11" i="4"/>
  <c r="D12" i="4"/>
  <c r="F12" i="4"/>
  <c r="B12" i="4"/>
  <c r="G12" i="4"/>
  <c r="J12" i="4"/>
  <c r="K12" i="4"/>
  <c r="O12" i="4"/>
  <c r="D13" i="4"/>
  <c r="F13" i="4"/>
  <c r="B13" i="4"/>
  <c r="G13" i="4"/>
  <c r="J13" i="4"/>
  <c r="O13" i="4"/>
  <c r="K13" i="4"/>
  <c r="N13" i="4"/>
  <c r="D14" i="4"/>
  <c r="F14" i="4"/>
  <c r="B14" i="4"/>
  <c r="G14" i="4"/>
  <c r="J14" i="4"/>
  <c r="K14" i="4"/>
  <c r="O14" i="4"/>
  <c r="D15" i="4"/>
  <c r="F15" i="4"/>
  <c r="B15" i="4"/>
  <c r="G15" i="4"/>
  <c r="J15" i="4"/>
  <c r="O15" i="4"/>
  <c r="K15" i="4"/>
  <c r="N15" i="4"/>
  <c r="S31" i="4"/>
  <c r="B16" i="4"/>
  <c r="D16" i="4"/>
  <c r="F16" i="4"/>
  <c r="N16" i="4"/>
  <c r="G16" i="4"/>
  <c r="J16" i="4"/>
  <c r="K16" i="4"/>
  <c r="O16" i="4"/>
  <c r="P16" i="4"/>
  <c r="Q16" i="4"/>
  <c r="D17" i="4"/>
  <c r="F17" i="4"/>
  <c r="B17" i="4"/>
  <c r="G17" i="4"/>
  <c r="J17" i="4"/>
  <c r="O17" i="4"/>
  <c r="K17" i="4"/>
  <c r="N17" i="4"/>
  <c r="B18" i="4"/>
  <c r="D18" i="4"/>
  <c r="F18" i="4"/>
  <c r="N18" i="4"/>
  <c r="G18" i="4"/>
  <c r="J18" i="4"/>
  <c r="K18" i="4"/>
  <c r="O18" i="4"/>
  <c r="P18" i="4"/>
  <c r="Q18" i="4"/>
  <c r="D23" i="4"/>
  <c r="D24" i="4"/>
  <c r="Q23" i="4"/>
  <c r="Q25" i="4"/>
  <c r="D29" i="4"/>
  <c r="Q30" i="4"/>
  <c r="S30" i="4"/>
  <c r="S33" i="4"/>
  <c r="S32" i="4"/>
  <c r="D33" i="4"/>
  <c r="D37" i="4"/>
  <c r="F33" i="4"/>
  <c r="Q33" i="4"/>
  <c r="F34" i="4"/>
  <c r="F35" i="4"/>
  <c r="F37" i="4"/>
  <c r="Q38" i="4"/>
  <c r="D42" i="4"/>
  <c r="Q43" i="4"/>
  <c r="U57" i="4"/>
  <c r="D49" i="4"/>
  <c r="Q49" i="4"/>
  <c r="T58" i="4"/>
  <c r="E54" i="4"/>
  <c r="D55" i="4"/>
  <c r="F55" i="4"/>
  <c r="G55" i="4"/>
  <c r="H55" i="4"/>
  <c r="S56" i="4"/>
  <c r="T56" i="4"/>
  <c r="U56" i="4"/>
  <c r="G57" i="4"/>
  <c r="H57" i="4"/>
  <c r="S58" i="4"/>
  <c r="D59" i="4"/>
  <c r="U59" i="4"/>
  <c r="AM14" i="3"/>
  <c r="AM13" i="3"/>
  <c r="AM12" i="3"/>
  <c r="AL11" i="3"/>
  <c r="AL10" i="3"/>
  <c r="AM9" i="3"/>
  <c r="AL8" i="3"/>
  <c r="AL7" i="3"/>
  <c r="AM6" i="3"/>
  <c r="AL5" i="3"/>
  <c r="AM4" i="3"/>
  <c r="AL3" i="3"/>
  <c r="AL2" i="3"/>
  <c r="D62" i="4"/>
  <c r="U55" i="4"/>
  <c r="T55" i="4"/>
  <c r="T59" i="4"/>
  <c r="G54" i="4"/>
  <c r="E55" i="4"/>
  <c r="E59" i="4"/>
  <c r="F54" i="4"/>
  <c r="D54" i="4"/>
  <c r="D60" i="4"/>
  <c r="H54" i="4"/>
  <c r="P17" i="4"/>
  <c r="Q17" i="4"/>
  <c r="P13" i="4"/>
  <c r="Q13" i="4"/>
  <c r="N12" i="4"/>
  <c r="N10" i="4"/>
  <c r="P7" i="4"/>
  <c r="D61" i="4"/>
  <c r="U58" i="4"/>
  <c r="P15" i="4"/>
  <c r="Q15" i="4"/>
  <c r="N14" i="4"/>
  <c r="R30" i="4"/>
  <c r="O9" i="4"/>
  <c r="P9" i="4"/>
  <c r="Q9" i="4"/>
  <c r="O3" i="4"/>
  <c r="P3" i="4"/>
  <c r="Q3" i="4"/>
  <c r="P14" i="4"/>
  <c r="Q14" i="4"/>
  <c r="P12" i="4"/>
  <c r="P10" i="4"/>
  <c r="P8" i="4"/>
  <c r="Q8" i="4"/>
  <c r="N7" i="4"/>
  <c r="P6" i="4"/>
  <c r="Q6" i="4"/>
  <c r="N5" i="4"/>
  <c r="P4" i="4"/>
  <c r="Q4" i="4"/>
  <c r="P2" i="4"/>
  <c r="Q2" i="4"/>
  <c r="AK14" i="3"/>
  <c r="AK13" i="3"/>
  <c r="AK12" i="3"/>
  <c r="AJ11" i="3"/>
  <c r="AJ10" i="3"/>
  <c r="AK9" i="3"/>
  <c r="AJ8" i="3"/>
  <c r="AJ7" i="3"/>
  <c r="AK6" i="3"/>
  <c r="AJ5" i="3"/>
  <c r="AK4" i="3"/>
  <c r="AJ3" i="3"/>
  <c r="AJ2" i="3"/>
  <c r="AA6" i="3"/>
  <c r="AC6" i="3"/>
  <c r="AG6" i="3"/>
  <c r="AA5" i="3"/>
  <c r="AC5" i="3"/>
  <c r="AA3" i="3"/>
  <c r="AC3" i="3"/>
  <c r="Z2" i="3"/>
  <c r="AB2" i="3"/>
  <c r="AD2" i="3"/>
  <c r="W6" i="3"/>
  <c r="Y6" i="3"/>
  <c r="W5" i="3"/>
  <c r="Y5" i="3"/>
  <c r="W3" i="3"/>
  <c r="Y3" i="3"/>
  <c r="V2" i="3"/>
  <c r="X2" i="3"/>
  <c r="AA7" i="3"/>
  <c r="AA2" i="3"/>
  <c r="AC2" i="3"/>
  <c r="AF2" i="3"/>
  <c r="Z5" i="3"/>
  <c r="AB5" i="3"/>
  <c r="AD5" i="3"/>
  <c r="Z4" i="3"/>
  <c r="AB4" i="3"/>
  <c r="AD4" i="3"/>
  <c r="Z3" i="3"/>
  <c r="AB3" i="3"/>
  <c r="AD3" i="3"/>
  <c r="W2" i="3"/>
  <c r="W7" i="3"/>
  <c r="V4" i="3"/>
  <c r="V5" i="3"/>
  <c r="V3" i="3"/>
  <c r="Q12" i="4"/>
  <c r="Q7" i="4"/>
  <c r="E47" i="4"/>
  <c r="E48" i="4"/>
  <c r="R31" i="4"/>
  <c r="R33" i="4"/>
  <c r="G36" i="4"/>
  <c r="G33" i="4"/>
  <c r="G35" i="4"/>
  <c r="G34" i="4"/>
  <c r="R23" i="4"/>
  <c r="R24" i="4"/>
  <c r="E34" i="4"/>
  <c r="E33" i="4"/>
  <c r="E37" i="4"/>
  <c r="Q10" i="4"/>
  <c r="Q5" i="4"/>
  <c r="AG3" i="3"/>
  <c r="AE5" i="3"/>
  <c r="AN11" i="3"/>
  <c r="AG2" i="3"/>
  <c r="AO4" i="3"/>
  <c r="AF3" i="3"/>
  <c r="AG5" i="3"/>
  <c r="AF5" i="3"/>
  <c r="AE4" i="3"/>
  <c r="AC7" i="3"/>
  <c r="AF7" i="3"/>
  <c r="AF6" i="3"/>
  <c r="AO13" i="3"/>
  <c r="AE2" i="3"/>
  <c r="AN3" i="3"/>
  <c r="AE3" i="3"/>
  <c r="AN5" i="3"/>
  <c r="R55" i="4"/>
  <c r="S55" i="4"/>
  <c r="S59" i="4"/>
  <c r="E56" i="4"/>
  <c r="E60" i="4"/>
  <c r="F56" i="4"/>
  <c r="F59" i="4"/>
  <c r="G37" i="4"/>
  <c r="R25" i="4"/>
  <c r="E49" i="4"/>
  <c r="AN2" i="3"/>
  <c r="AN8" i="3"/>
  <c r="AN7" i="3"/>
  <c r="AO6" i="3"/>
  <c r="AN10" i="3"/>
  <c r="AO12" i="3"/>
  <c r="AO9" i="3"/>
  <c r="AG7" i="3"/>
  <c r="AO14" i="3"/>
  <c r="F61" i="4"/>
  <c r="F62" i="4"/>
  <c r="F60" i="4"/>
  <c r="E62" i="4"/>
  <c r="E61" i="4"/>
  <c r="H58" i="4"/>
  <c r="G58" i="4"/>
  <c r="S54" i="4"/>
  <c r="S60" i="4"/>
  <c r="S62" i="4"/>
  <c r="R54" i="4"/>
  <c r="T54" i="4"/>
  <c r="T60" i="4"/>
  <c r="Q54" i="4"/>
  <c r="Q59" i="4"/>
  <c r="U54" i="4"/>
  <c r="U60" i="4"/>
  <c r="H56" i="4"/>
  <c r="H59" i="4"/>
  <c r="G56" i="4"/>
  <c r="G59" i="4"/>
  <c r="U61" i="4"/>
  <c r="U62" i="4"/>
  <c r="G62" i="4"/>
  <c r="G61" i="4"/>
  <c r="G60" i="4"/>
  <c r="T62" i="4"/>
  <c r="T61" i="4"/>
  <c r="H60" i="4"/>
  <c r="H61" i="4"/>
  <c r="R59" i="4"/>
  <c r="R60" i="4"/>
  <c r="S61" i="4"/>
  <c r="Q61" i="4"/>
  <c r="Q62" i="4"/>
  <c r="H62" i="4"/>
  <c r="R61" i="4"/>
  <c r="R62" i="4"/>
  <c r="S33" i="6"/>
  <c r="E49" i="6"/>
  <c r="H58" i="6"/>
  <c r="R25" i="6"/>
  <c r="R54" i="6"/>
  <c r="R60" i="6"/>
  <c r="Q54" i="6"/>
  <c r="R61" i="6"/>
  <c r="S61" i="6"/>
  <c r="T61" i="6"/>
  <c r="U61" i="6"/>
  <c r="G62" i="6"/>
  <c r="H62" i="6"/>
  <c r="Q62" i="6"/>
  <c r="R62" i="6"/>
  <c r="S62" i="6"/>
  <c r="T62" i="6"/>
  <c r="U62" i="6"/>
</calcChain>
</file>

<file path=xl/sharedStrings.xml><?xml version="1.0" encoding="utf-8"?>
<sst xmlns="http://schemas.openxmlformats.org/spreadsheetml/2006/main" count="561" uniqueCount="88">
  <si>
    <t>ELM</t>
  </si>
  <si>
    <t>Corredores Davivienda</t>
  </si>
  <si>
    <t>AA119</t>
  </si>
  <si>
    <t>AA121</t>
  </si>
  <si>
    <t>AA120</t>
  </si>
  <si>
    <t>AA103</t>
  </si>
  <si>
    <t>PRECIO PROMEDIO PONDERADO (Pik)</t>
  </si>
  <si>
    <t>SUM P*Q</t>
  </si>
  <si>
    <t>P*Q (Agente)</t>
  </si>
  <si>
    <t>ENERGIA ACUMULADA POR VENCIMIENTO ( Agente)</t>
  </si>
  <si>
    <t>TERCERO COMPRADOR</t>
  </si>
  <si>
    <t>COMPRADOR</t>
  </si>
  <si>
    <t>MONTO ($)</t>
  </si>
  <si>
    <t>CARGA TOTAL (kWh)</t>
  </si>
  <si>
    <t>PRECIO ($/kWh)</t>
  </si>
  <si>
    <t>CANTIDAD</t>
  </si>
  <si>
    <t>FECHA DE VENCIMIENTO DEL CONTRATO</t>
  </si>
  <si>
    <t>CONTRATO</t>
  </si>
  <si>
    <t>NEMOTÉCNICO</t>
  </si>
  <si>
    <t>TIPO DE CONTRATO</t>
  </si>
  <si>
    <t>MES</t>
  </si>
  <si>
    <t>mes/contrato</t>
  </si>
  <si>
    <t>FECHA DE TRANSACCIÓN</t>
  </si>
  <si>
    <t>Agosto-2018/Abril-2019</t>
  </si>
  <si>
    <t>Agosto-2018</t>
  </si>
  <si>
    <t>ELS</t>
  </si>
  <si>
    <t>ELSJ19F</t>
  </si>
  <si>
    <t>Abril-2019</t>
  </si>
  <si>
    <t>AA113</t>
  </si>
  <si>
    <t>ELMJ19F</t>
  </si>
  <si>
    <t>Octubre-2018/Abril-2019</t>
  </si>
  <si>
    <t>Octubre-2018</t>
  </si>
  <si>
    <t>AA110</t>
  </si>
  <si>
    <t>Marzo-2019/Abril-2019</t>
  </si>
  <si>
    <t>Marzo-2019</t>
  </si>
  <si>
    <t>Diciembre-2018/Abril-2019</t>
  </si>
  <si>
    <t>Diciembre-2018</t>
  </si>
  <si>
    <t>Agosto-2018/Mayo-2019</t>
  </si>
  <si>
    <t>ELMK19F</t>
  </si>
  <si>
    <t>Mayo-2019</t>
  </si>
  <si>
    <t>ELSK19F</t>
  </si>
  <si>
    <t>Octubre-2018/Mayo-2019</t>
  </si>
  <si>
    <t>Abril-2019/Mayo-2019</t>
  </si>
  <si>
    <t>Marzo-2019/Mayo-2019</t>
  </si>
  <si>
    <t>Mayo-2019/Mayo-2019</t>
  </si>
  <si>
    <r>
      <rPr>
        <b/>
        <u/>
        <sz val="11"/>
        <color rgb="FF000000"/>
        <rFont val="Calibri"/>
        <family val="2"/>
      </rPr>
      <t>Contratos</t>
    </r>
    <r>
      <rPr>
        <b/>
        <sz val="11"/>
        <color indexed="8"/>
        <rFont val="Calibri"/>
        <family val="2"/>
      </rPr>
      <t xml:space="preserve">
Mes que se negociaron</t>
    </r>
  </si>
  <si>
    <r>
      <rPr>
        <u/>
        <sz val="11"/>
        <color theme="1"/>
        <rFont val="Calibri"/>
        <family val="2"/>
        <scheme val="minor"/>
      </rPr>
      <t>Abril-2019</t>
    </r>
    <r>
      <rPr>
        <sz val="11"/>
        <color theme="1"/>
        <rFont val="Calibri"/>
        <family val="2"/>
        <scheme val="minor"/>
      </rPr>
      <t xml:space="preserve">
m
</t>
    </r>
  </si>
  <si>
    <r>
      <rPr>
        <u/>
        <sz val="11"/>
        <color theme="1"/>
        <rFont val="Calibri"/>
        <family val="2"/>
        <scheme val="minor"/>
      </rPr>
      <t>Mayo-2019</t>
    </r>
    <r>
      <rPr>
        <sz val="11"/>
        <color theme="1"/>
        <rFont val="Calibri"/>
        <family val="2"/>
        <scheme val="minor"/>
      </rPr>
      <t xml:space="preserve">
m
</t>
    </r>
  </si>
  <si>
    <r>
      <rPr>
        <u/>
        <sz val="11"/>
        <color theme="1"/>
        <rFont val="Calibri"/>
        <family val="2"/>
        <scheme val="minor"/>
      </rPr>
      <t>Abril-2019</t>
    </r>
    <r>
      <rPr>
        <sz val="11"/>
        <color theme="1"/>
        <rFont val="Calibri"/>
        <family val="2"/>
        <scheme val="minor"/>
      </rPr>
      <t xml:space="preserve">
i
</t>
    </r>
  </si>
  <si>
    <r>
      <rPr>
        <u/>
        <sz val="11"/>
        <color theme="1"/>
        <rFont val="Calibri"/>
        <family val="2"/>
        <scheme val="minor"/>
      </rPr>
      <t>Mayo-2019</t>
    </r>
    <r>
      <rPr>
        <sz val="11"/>
        <color theme="1"/>
        <rFont val="Calibri"/>
        <family val="2"/>
        <scheme val="minor"/>
      </rPr>
      <t xml:space="preserve">
i
</t>
    </r>
  </si>
  <si>
    <r>
      <rPr>
        <u/>
        <sz val="11"/>
        <color theme="1"/>
        <rFont val="Calibri"/>
        <family val="2"/>
        <scheme val="minor"/>
      </rPr>
      <t>Abril-2019</t>
    </r>
    <r>
      <rPr>
        <sz val="11"/>
        <color theme="1"/>
        <rFont val="Calibri"/>
        <family val="2"/>
        <scheme val="minor"/>
      </rPr>
      <t xml:space="preserve">
j
</t>
    </r>
  </si>
  <si>
    <r>
      <rPr>
        <u/>
        <sz val="11"/>
        <color theme="1"/>
        <rFont val="Calibri"/>
        <family val="2"/>
        <scheme val="minor"/>
      </rPr>
      <t>Mayo-2019</t>
    </r>
    <r>
      <rPr>
        <sz val="11"/>
        <color theme="1"/>
        <rFont val="Calibri"/>
        <family val="2"/>
        <scheme val="minor"/>
      </rPr>
      <t xml:space="preserve">
j
</t>
    </r>
  </si>
  <si>
    <r>
      <rPr>
        <u/>
        <sz val="11"/>
        <color theme="1"/>
        <rFont val="Calibri"/>
        <family val="2"/>
        <scheme val="minor"/>
      </rPr>
      <t>Abril-2019</t>
    </r>
    <r>
      <rPr>
        <sz val="11"/>
        <color theme="1"/>
        <rFont val="Calibri"/>
        <family val="2"/>
        <scheme val="minor"/>
      </rPr>
      <t xml:space="preserve">
Mediana PPP
</t>
    </r>
  </si>
  <si>
    <r>
      <rPr>
        <u/>
        <sz val="11"/>
        <color theme="1"/>
        <rFont val="Calibri"/>
        <family val="2"/>
        <scheme val="minor"/>
      </rPr>
      <t>Mayo-2019</t>
    </r>
    <r>
      <rPr>
        <sz val="11"/>
        <color theme="1"/>
        <rFont val="Calibri"/>
        <family val="2"/>
        <scheme val="minor"/>
      </rPr>
      <t xml:space="preserve">
Mediana PPP
</t>
    </r>
  </si>
  <si>
    <r>
      <t xml:space="preserve">
</t>
    </r>
    <r>
      <rPr>
        <u/>
        <sz val="11"/>
        <color theme="1"/>
        <rFont val="Calibri"/>
        <family val="2"/>
        <scheme val="minor"/>
      </rPr>
      <t>Abril-2019</t>
    </r>
    <r>
      <rPr>
        <sz val="11"/>
        <color theme="1"/>
        <rFont val="Calibri"/>
        <family val="2"/>
        <scheme val="minor"/>
      </rPr>
      <t xml:space="preserve">
Desviacion Media PPP
</t>
    </r>
  </si>
  <si>
    <r>
      <t xml:space="preserve">
</t>
    </r>
    <r>
      <rPr>
        <u/>
        <sz val="11"/>
        <color theme="1"/>
        <rFont val="Calibri"/>
        <family val="2"/>
        <scheme val="minor"/>
      </rPr>
      <t>Mayo-2019</t>
    </r>
    <r>
      <rPr>
        <sz val="11"/>
        <color theme="1"/>
        <rFont val="Calibri"/>
        <family val="2"/>
        <scheme val="minor"/>
      </rPr>
      <t xml:space="preserve">
Desviación Mediana PPP
</t>
    </r>
  </si>
  <si>
    <r>
      <t xml:space="preserve">
</t>
    </r>
    <r>
      <rPr>
        <u/>
        <sz val="11"/>
        <color theme="1"/>
        <rFont val="Calibri"/>
        <family val="2"/>
        <scheme val="minor"/>
      </rPr>
      <t>Abril-2019</t>
    </r>
    <r>
      <rPr>
        <sz val="11"/>
        <color theme="1"/>
        <rFont val="Calibri"/>
        <family val="2"/>
        <scheme val="minor"/>
      </rPr>
      <t xml:space="preserve">
Precio Techo
</t>
    </r>
  </si>
  <si>
    <r>
      <rPr>
        <u/>
        <sz val="11"/>
        <color theme="1"/>
        <rFont val="Calibri"/>
        <family val="2"/>
        <scheme val="minor"/>
      </rPr>
      <t>Mayo-2019</t>
    </r>
    <r>
      <rPr>
        <sz val="11"/>
        <color theme="1"/>
        <rFont val="Calibri"/>
        <family val="2"/>
        <scheme val="minor"/>
      </rPr>
      <t xml:space="preserve">
Precio Piso
</t>
    </r>
  </si>
  <si>
    <r>
      <rPr>
        <u/>
        <sz val="11"/>
        <color theme="1"/>
        <rFont val="Calibri"/>
        <family val="2"/>
        <scheme val="minor"/>
      </rPr>
      <t>Abril-2019</t>
    </r>
    <r>
      <rPr>
        <sz val="11"/>
        <color theme="1"/>
        <rFont val="Calibri"/>
        <family val="2"/>
        <scheme val="minor"/>
      </rPr>
      <t xml:space="preserve">
Precio Piso
</t>
    </r>
  </si>
  <si>
    <r>
      <t xml:space="preserve">
</t>
    </r>
    <r>
      <rPr>
        <u/>
        <sz val="11"/>
        <color theme="1"/>
        <rFont val="Calibri"/>
        <family val="2"/>
        <scheme val="minor"/>
      </rPr>
      <t>Mayo-2019</t>
    </r>
    <r>
      <rPr>
        <sz val="11"/>
        <color theme="1"/>
        <rFont val="Calibri"/>
        <family val="2"/>
        <scheme val="minor"/>
      </rPr>
      <t xml:space="preserve">
Precio Techo
</t>
    </r>
  </si>
  <si>
    <t>Agente comprador</t>
  </si>
  <si>
    <t>Mes de negociación</t>
  </si>
  <si>
    <r>
      <t xml:space="preserve">
</t>
    </r>
    <r>
      <rPr>
        <u/>
        <sz val="11"/>
        <color theme="1"/>
        <rFont val="Calibri"/>
        <family val="2"/>
        <scheme val="minor"/>
      </rPr>
      <t>Abril-2019</t>
    </r>
    <r>
      <rPr>
        <sz val="11"/>
        <color theme="1"/>
        <rFont val="Calibri"/>
        <family val="2"/>
        <scheme val="minor"/>
      </rPr>
      <t xml:space="preserve">
Precio Promedio Ponderado - Acumulado</t>
    </r>
  </si>
  <si>
    <r>
      <t xml:space="preserve">
</t>
    </r>
    <r>
      <rPr>
        <u/>
        <sz val="11"/>
        <color theme="1"/>
        <rFont val="Calibri"/>
        <family val="2"/>
        <scheme val="minor"/>
      </rPr>
      <t>Mayo-2019</t>
    </r>
    <r>
      <rPr>
        <sz val="11"/>
        <color theme="1"/>
        <rFont val="Calibri"/>
        <family val="2"/>
        <scheme val="minor"/>
      </rPr>
      <t xml:space="preserve">
Precio Promedio Ponderado - Acumulado</t>
    </r>
  </si>
  <si>
    <r>
      <rPr>
        <u/>
        <sz val="11"/>
        <color theme="1"/>
        <rFont val="Calibri"/>
        <family val="2"/>
        <scheme val="minor"/>
      </rPr>
      <t>Abril-2019</t>
    </r>
    <r>
      <rPr>
        <sz val="11"/>
        <color theme="1"/>
        <rFont val="Calibri"/>
        <family val="2"/>
        <scheme val="minor"/>
      </rPr>
      <t xml:space="preserve">
Precio a trasladar - PPP</t>
    </r>
  </si>
  <si>
    <r>
      <rPr>
        <u/>
        <sz val="11"/>
        <color theme="1"/>
        <rFont val="Calibri"/>
        <family val="2"/>
        <scheme val="minor"/>
      </rPr>
      <t>Mayo-2019</t>
    </r>
    <r>
      <rPr>
        <sz val="11"/>
        <color theme="1"/>
        <rFont val="Calibri"/>
        <family val="2"/>
        <scheme val="minor"/>
      </rPr>
      <t xml:space="preserve">
Precio a trasadar-PPP</t>
    </r>
  </si>
  <si>
    <t>Techo</t>
  </si>
  <si>
    <t>Piso</t>
  </si>
  <si>
    <t>Desviación</t>
  </si>
  <si>
    <t>Mediana</t>
  </si>
  <si>
    <t>Agentes</t>
  </si>
  <si>
    <t>Contrato MAYO 2019</t>
  </si>
  <si>
    <t>Precio Ponderado</t>
  </si>
  <si>
    <t>PRECIO</t>
  </si>
  <si>
    <t>ALFA</t>
  </si>
  <si>
    <t>Agente</t>
  </si>
  <si>
    <t>-</t>
  </si>
  <si>
    <t>Precios</t>
  </si>
  <si>
    <t>ALFAS</t>
  </si>
  <si>
    <t>CONTRATO MAYO 2019</t>
  </si>
  <si>
    <t>CONTRATO ABRIL 2019</t>
  </si>
  <si>
    <t>Contrato ABRIL 2019-Precios promedio historicos</t>
  </si>
  <si>
    <t>FECHA DE NEGOCIACIÓN</t>
  </si>
  <si>
    <t>CONTRATO( Vencimiento)</t>
  </si>
  <si>
    <t>Piso mensual</t>
  </si>
  <si>
    <t>Techo mensual</t>
  </si>
  <si>
    <t>PISO</t>
  </si>
  <si>
    <t>TECHO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</si>
</sst>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70C0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1" fontId="0" fillId="0" borderId="1" xfId="2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/>
    </xf>
    <xf numFmtId="0" fontId="4" fillId="0" borderId="1" xfId="3" applyFont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3" xfId="3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2" fontId="0" fillId="0" borderId="0" xfId="0" applyNumberFormat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10" xfId="0" applyNumberFormat="1" applyBorder="1"/>
    <xf numFmtId="0" fontId="0" fillId="0" borderId="3" xfId="0" applyBorder="1" applyAlignment="1">
      <alignment horizontal="center" vertical="center" wrapText="1"/>
    </xf>
    <xf numFmtId="2" fontId="0" fillId="0" borderId="0" xfId="0" applyNumberFormat="1" applyBorder="1"/>
    <xf numFmtId="2" fontId="0" fillId="0" borderId="9" xfId="0" applyNumberFormat="1" applyBorder="1"/>
    <xf numFmtId="0" fontId="0" fillId="0" borderId="0" xfId="0" applyBorder="1" applyAlignment="1">
      <alignment horizontal="center"/>
    </xf>
    <xf numFmtId="2" fontId="0" fillId="0" borderId="11" xfId="0" applyNumberFormat="1" applyBorder="1"/>
    <xf numFmtId="2" fontId="0" fillId="0" borderId="12" xfId="0" applyNumberFormat="1" applyBorder="1"/>
    <xf numFmtId="2" fontId="0" fillId="0" borderId="13" xfId="0" applyNumberFormat="1" applyBorder="1"/>
    <xf numFmtId="17" fontId="0" fillId="0" borderId="6" xfId="0" applyNumberFormat="1" applyBorder="1" applyAlignment="1">
      <alignment horizontal="center" vertical="center"/>
    </xf>
    <xf numFmtId="17" fontId="0" fillId="0" borderId="8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2" fontId="0" fillId="0" borderId="2" xfId="0" applyNumberFormat="1" applyBorder="1"/>
    <xf numFmtId="2" fontId="0" fillId="0" borderId="15" xfId="0" applyNumberFormat="1" applyBorder="1"/>
    <xf numFmtId="0" fontId="0" fillId="0" borderId="16" xfId="0" applyBorder="1" applyAlignment="1">
      <alignment horizontal="center" vertical="center" wrapText="1"/>
    </xf>
    <xf numFmtId="2" fontId="0" fillId="0" borderId="14" xfId="0" applyNumberFormat="1" applyBorder="1"/>
    <xf numFmtId="0" fontId="8" fillId="2" borderId="1" xfId="0" applyFont="1" applyFill="1" applyBorder="1" applyAlignment="1">
      <alignment horizontal="center"/>
    </xf>
    <xf numFmtId="2" fontId="0" fillId="2" borderId="1" xfId="0" applyNumberFormat="1" applyFill="1" applyBorder="1"/>
    <xf numFmtId="0" fontId="8" fillId="0" borderId="1" xfId="0" applyFont="1" applyBorder="1" applyAlignment="1">
      <alignment horizontal="center"/>
    </xf>
    <xf numFmtId="2" fontId="0" fillId="0" borderId="1" xfId="0" applyNumberFormat="1" applyBorder="1"/>
    <xf numFmtId="0" fontId="8" fillId="0" borderId="18" xfId="0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2" fontId="0" fillId="0" borderId="22" xfId="0" applyNumberFormat="1" applyBorder="1"/>
    <xf numFmtId="0" fontId="8" fillId="0" borderId="0" xfId="0" applyFont="1" applyAlignment="1">
      <alignment horizontal="center"/>
    </xf>
    <xf numFmtId="0" fontId="0" fillId="0" borderId="22" xfId="0" applyBorder="1"/>
    <xf numFmtId="0" fontId="0" fillId="0" borderId="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2" fontId="0" fillId="0" borderId="23" xfId="0" applyNumberFormat="1" applyBorder="1"/>
    <xf numFmtId="2" fontId="0" fillId="0" borderId="24" xfId="0" applyNumberFormat="1" applyBorder="1"/>
    <xf numFmtId="2" fontId="0" fillId="0" borderId="25" xfId="0" applyNumberFormat="1" applyBorder="1"/>
    <xf numFmtId="0" fontId="0" fillId="0" borderId="0" xfId="0" applyAlignment="1">
      <alignment horizontal="center"/>
    </xf>
    <xf numFmtId="17" fontId="8" fillId="0" borderId="26" xfId="0" applyNumberFormat="1" applyFont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0" borderId="1" xfId="0" applyBorder="1"/>
    <xf numFmtId="1" fontId="0" fillId="0" borderId="22" xfId="0" applyNumberFormat="1" applyBorder="1"/>
    <xf numFmtId="0" fontId="0" fillId="0" borderId="7" xfId="0" applyBorder="1"/>
    <xf numFmtId="0" fontId="0" fillId="0" borderId="1" xfId="0" applyBorder="1" applyAlignment="1">
      <alignment horizontal="center"/>
    </xf>
    <xf numFmtId="1" fontId="0" fillId="0" borderId="23" xfId="0" applyNumberFormat="1" applyBorder="1"/>
    <xf numFmtId="0" fontId="8" fillId="0" borderId="1" xfId="0" applyFont="1" applyBorder="1" applyAlignment="1">
      <alignment vertical="center"/>
    </xf>
    <xf numFmtId="17" fontId="0" fillId="0" borderId="1" xfId="0" applyNumberFormat="1" applyBorder="1"/>
    <xf numFmtId="0" fontId="0" fillId="4" borderId="1" xfId="0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4" borderId="18" xfId="0" applyFill="1" applyBorder="1"/>
    <xf numFmtId="0" fontId="0" fillId="4" borderId="28" xfId="0" applyFill="1" applyBorder="1"/>
    <xf numFmtId="17" fontId="8" fillId="0" borderId="17" xfId="0" applyNumberFormat="1" applyFont="1" applyBorder="1"/>
    <xf numFmtId="0" fontId="8" fillId="0" borderId="18" xfId="0" applyFont="1" applyBorder="1" applyAlignment="1">
      <alignment horizontal="center"/>
    </xf>
    <xf numFmtId="0" fontId="8" fillId="0" borderId="0" xfId="0" applyFont="1"/>
    <xf numFmtId="0" fontId="0" fillId="4" borderId="20" xfId="0" applyFill="1" applyBorder="1"/>
    <xf numFmtId="0" fontId="0" fillId="0" borderId="18" xfId="0" applyBorder="1" applyAlignment="1">
      <alignment horizontal="center"/>
    </xf>
    <xf numFmtId="0" fontId="8" fillId="0" borderId="0" xfId="0" applyFont="1" applyAlignment="1">
      <alignment vertical="center"/>
    </xf>
    <xf numFmtId="0" fontId="0" fillId="0" borderId="12" xfId="0" applyBorder="1"/>
    <xf numFmtId="0" fontId="0" fillId="0" borderId="13" xfId="0" applyBorder="1"/>
    <xf numFmtId="0" fontId="0" fillId="0" borderId="11" xfId="0" applyBorder="1"/>
    <xf numFmtId="0" fontId="0" fillId="0" borderId="1" xfId="0" applyBorder="1" applyAlignment="1">
      <alignment horizontal="center" vertical="center" wrapText="1"/>
    </xf>
    <xf numFmtId="17" fontId="8" fillId="0" borderId="0" xfId="0" applyNumberFormat="1" applyFont="1" applyBorder="1"/>
    <xf numFmtId="0" fontId="8" fillId="0" borderId="0" xfId="0" applyFont="1" applyBorder="1"/>
    <xf numFmtId="2" fontId="0" fillId="0" borderId="21" xfId="0" applyNumberFormat="1" applyBorder="1"/>
    <xf numFmtId="2" fontId="0" fillId="0" borderId="20" xfId="0" applyNumberFormat="1" applyBorder="1"/>
    <xf numFmtId="2" fontId="0" fillId="0" borderId="19" xfId="0" applyNumberFormat="1" applyBorder="1"/>
    <xf numFmtId="2" fontId="0" fillId="0" borderId="17" xfId="0" applyNumberFormat="1" applyBorder="1"/>
    <xf numFmtId="17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7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4" borderId="18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5" borderId="1" xfId="0" applyNumberFormat="1" applyFill="1" applyBorder="1"/>
    <xf numFmtId="0" fontId="8" fillId="0" borderId="0" xfId="0" applyFont="1" applyFill="1" applyBorder="1" applyAlignment="1">
      <alignment horizontal="center"/>
    </xf>
    <xf numFmtId="17" fontId="8" fillId="0" borderId="1" xfId="0" applyNumberFormat="1" applyFont="1" applyBorder="1"/>
    <xf numFmtId="1" fontId="0" fillId="0" borderId="1" xfId="0" applyNumberFormat="1" applyBorder="1"/>
    <xf numFmtId="1" fontId="8" fillId="0" borderId="1" xfId="0" applyNumberFormat="1" applyFont="1" applyBorder="1"/>
    <xf numFmtId="0" fontId="0" fillId="2" borderId="1" xfId="0" applyFill="1" applyBorder="1"/>
    <xf numFmtId="0" fontId="8" fillId="2" borderId="26" xfId="0" applyFont="1" applyFill="1" applyBorder="1" applyAlignment="1">
      <alignment horizontal="center"/>
    </xf>
    <xf numFmtId="2" fontId="0" fillId="2" borderId="26" xfId="0" applyNumberFormat="1" applyFill="1" applyBorder="1"/>
    <xf numFmtId="2" fontId="0" fillId="5" borderId="26" xfId="0" applyNumberFormat="1" applyFill="1" applyBorder="1"/>
    <xf numFmtId="2" fontId="0" fillId="0" borderId="0" xfId="0" applyNumberFormat="1" applyFill="1" applyBorder="1"/>
    <xf numFmtId="0" fontId="0" fillId="0" borderId="0" xfId="0" applyFill="1" applyBorder="1"/>
  </cellXfs>
  <cellStyles count="4">
    <cellStyle name="Millares" xfId="1" builtinId="3"/>
    <cellStyle name="Millares [0]" xfId="2" builtinId="6"/>
    <cellStyle name="Normal" xfId="0" builtinId="0"/>
    <cellStyle name="Normal 2" xfId="3" xr:uid="{FD4AC1C7-4B33-4CD8-8315-ECC1E8994A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Precios Promedio por</a:t>
            </a:r>
            <a:r>
              <a:rPr lang="es-CO" sz="1200" baseline="0"/>
              <a:t> agente- Contrato Abril 2019</a:t>
            </a:r>
            <a:endParaRPr lang="es-C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3655374117040752E-2"/>
          <c:y val="0.14325816908992298"/>
          <c:w val="0.88052107743164199"/>
          <c:h val="0.60423789343054568"/>
        </c:manualLayout>
      </c:layout>
      <c:lineChart>
        <c:grouping val="standard"/>
        <c:varyColors val="0"/>
        <c:ser>
          <c:idx val="7"/>
          <c:order val="5"/>
          <c:tx>
            <c:strRef>
              <c:f>'Calculo ALFA'!$C$61</c:f>
              <c:strCache>
                <c:ptCount val="1"/>
                <c:pt idx="0">
                  <c:v>Piso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'Calculo ALFA'!$D$53:$H$53</c:f>
              <c:numCache>
                <c:formatCode>mmm\-yy</c:formatCode>
                <c:ptCount val="5"/>
                <c:pt idx="0">
                  <c:v>43313</c:v>
                </c:pt>
                <c:pt idx="1">
                  <c:v>43374</c:v>
                </c:pt>
                <c:pt idx="2">
                  <c:v>43435</c:v>
                </c:pt>
                <c:pt idx="3">
                  <c:v>43525</c:v>
                </c:pt>
                <c:pt idx="4">
                  <c:v>43556</c:v>
                </c:pt>
              </c:numCache>
            </c:numRef>
          </c:cat>
          <c:val>
            <c:numRef>
              <c:f>'Calculo ALFA'!$D$61:$H$61</c:f>
              <c:numCache>
                <c:formatCode>0.00</c:formatCode>
                <c:ptCount val="5"/>
                <c:pt idx="0">
                  <c:v>194.5</c:v>
                </c:pt>
                <c:pt idx="1">
                  <c:v>193.33333333333334</c:v>
                </c:pt>
                <c:pt idx="2">
                  <c:v>192.59999999999997</c:v>
                </c:pt>
                <c:pt idx="3">
                  <c:v>195.19422459893045</c:v>
                </c:pt>
                <c:pt idx="4">
                  <c:v>195.19422459893045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F92-4014-8B17-3787C1511FE2}"/>
            </c:ext>
          </c:extLst>
        </c:ser>
        <c:ser>
          <c:idx val="8"/>
          <c:order val="6"/>
          <c:tx>
            <c:strRef>
              <c:f>'Calculo ALFA'!$C$62</c:f>
              <c:strCache>
                <c:ptCount val="1"/>
                <c:pt idx="0">
                  <c:v>Techo</c:v>
                </c:pt>
              </c:strCache>
            </c:strRef>
          </c:tx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'Calculo ALFA'!$D$53:$H$53</c:f>
              <c:numCache>
                <c:formatCode>mmm\-yy</c:formatCode>
                <c:ptCount val="5"/>
                <c:pt idx="0">
                  <c:v>43313</c:v>
                </c:pt>
                <c:pt idx="1">
                  <c:v>43374</c:v>
                </c:pt>
                <c:pt idx="2">
                  <c:v>43435</c:v>
                </c:pt>
                <c:pt idx="3">
                  <c:v>43525</c:v>
                </c:pt>
                <c:pt idx="4">
                  <c:v>43556</c:v>
                </c:pt>
              </c:numCache>
            </c:numRef>
          </c:cat>
          <c:val>
            <c:numRef>
              <c:f>'Calculo ALFA'!$D$62:$H$62</c:f>
              <c:numCache>
                <c:formatCode>0.00</c:formatCode>
                <c:ptCount val="5"/>
                <c:pt idx="0">
                  <c:v>194.5</c:v>
                </c:pt>
                <c:pt idx="1">
                  <c:v>195.66666666666666</c:v>
                </c:pt>
                <c:pt idx="2">
                  <c:v>203.39999999999998</c:v>
                </c:pt>
                <c:pt idx="3">
                  <c:v>207.56513368983954</c:v>
                </c:pt>
                <c:pt idx="4">
                  <c:v>207.56513368983954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F92-4014-8B17-3787C1511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865344"/>
        <c:axId val="1610295136"/>
      </c:lineChart>
      <c:scatterChart>
        <c:scatterStyle val="lineMarker"/>
        <c:varyColors val="0"/>
        <c:ser>
          <c:idx val="0"/>
          <c:order val="0"/>
          <c:tx>
            <c:strRef>
              <c:f>'Calculo ALFA'!$C$54</c:f>
              <c:strCache>
                <c:ptCount val="1"/>
                <c:pt idx="0">
                  <c:v>AA113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'Calculo ALFA'!$D$53:$H$53</c:f>
              <c:numCache>
                <c:formatCode>mmm\-yy</c:formatCode>
                <c:ptCount val="5"/>
                <c:pt idx="0">
                  <c:v>43313</c:v>
                </c:pt>
                <c:pt idx="1">
                  <c:v>43374</c:v>
                </c:pt>
                <c:pt idx="2">
                  <c:v>43435</c:v>
                </c:pt>
                <c:pt idx="3">
                  <c:v>43525</c:v>
                </c:pt>
                <c:pt idx="4">
                  <c:v>43556</c:v>
                </c:pt>
              </c:numCache>
            </c:numRef>
          </c:xVal>
          <c:yVal>
            <c:numRef>
              <c:f>'Calculo ALFA'!$D$54:$H$54</c:f>
              <c:numCache>
                <c:formatCode>0.00</c:formatCode>
                <c:ptCount val="5"/>
                <c:pt idx="0">
                  <c:v>194.5</c:v>
                </c:pt>
                <c:pt idx="1">
                  <c:v>194.5</c:v>
                </c:pt>
                <c:pt idx="2">
                  <c:v>194.5</c:v>
                </c:pt>
                <c:pt idx="3">
                  <c:v>194.5</c:v>
                </c:pt>
                <c:pt idx="4">
                  <c:v>194.5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92-4014-8B17-3787C1511FE2}"/>
            </c:ext>
          </c:extLst>
        </c:ser>
        <c:ser>
          <c:idx val="1"/>
          <c:order val="1"/>
          <c:tx>
            <c:strRef>
              <c:f>'Calculo ALFA'!$C$55</c:f>
              <c:strCache>
                <c:ptCount val="1"/>
                <c:pt idx="0">
                  <c:v>AA119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'Calculo ALFA'!$D$53:$H$53</c:f>
              <c:numCache>
                <c:formatCode>mmm\-yy</c:formatCode>
                <c:ptCount val="5"/>
                <c:pt idx="0">
                  <c:v>43313</c:v>
                </c:pt>
                <c:pt idx="1">
                  <c:v>43374</c:v>
                </c:pt>
                <c:pt idx="2">
                  <c:v>43435</c:v>
                </c:pt>
                <c:pt idx="3">
                  <c:v>43525</c:v>
                </c:pt>
                <c:pt idx="4">
                  <c:v>43556</c:v>
                </c:pt>
              </c:numCache>
            </c:numRef>
          </c:xVal>
          <c:yVal>
            <c:numRef>
              <c:f>'Calculo ALFA'!$D$55:$H$55</c:f>
              <c:numCache>
                <c:formatCode>0.00</c:formatCode>
                <c:ptCount val="5"/>
                <c:pt idx="0">
                  <c:v>194.5</c:v>
                </c:pt>
                <c:pt idx="1">
                  <c:v>194.5</c:v>
                </c:pt>
                <c:pt idx="2">
                  <c:v>194.5</c:v>
                </c:pt>
                <c:pt idx="3">
                  <c:v>194.5</c:v>
                </c:pt>
                <c:pt idx="4">
                  <c:v>194.5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92-4014-8B17-3787C1511FE2}"/>
            </c:ext>
          </c:extLst>
        </c:ser>
        <c:ser>
          <c:idx val="2"/>
          <c:order val="2"/>
          <c:tx>
            <c:strRef>
              <c:f>'Calculo ALFA'!$C$56</c:f>
              <c:strCache>
                <c:ptCount val="1"/>
                <c:pt idx="0">
                  <c:v>AA110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'Calculo ALFA'!$D$53:$H$53</c:f>
              <c:numCache>
                <c:formatCode>mmm\-yy</c:formatCode>
                <c:ptCount val="5"/>
                <c:pt idx="0">
                  <c:v>43313</c:v>
                </c:pt>
                <c:pt idx="1">
                  <c:v>43374</c:v>
                </c:pt>
                <c:pt idx="2">
                  <c:v>43435</c:v>
                </c:pt>
                <c:pt idx="3">
                  <c:v>43525</c:v>
                </c:pt>
                <c:pt idx="4">
                  <c:v>43556</c:v>
                </c:pt>
              </c:numCache>
            </c:numRef>
          </c:xVal>
          <c:yVal>
            <c:numRef>
              <c:f>'Calculo ALFA'!$D$56:$H$56</c:f>
              <c:numCache>
                <c:formatCode>0.00</c:formatCode>
                <c:ptCount val="5"/>
                <c:pt idx="1">
                  <c:v>197.99999999999997</c:v>
                </c:pt>
                <c:pt idx="2">
                  <c:v>197.99999999999997</c:v>
                </c:pt>
                <c:pt idx="3">
                  <c:v>201.37967914438499</c:v>
                </c:pt>
                <c:pt idx="4">
                  <c:v>201.37967914438499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92-4014-8B17-3787C1511FE2}"/>
            </c:ext>
          </c:extLst>
        </c:ser>
        <c:ser>
          <c:idx val="3"/>
          <c:order val="3"/>
          <c:tx>
            <c:strRef>
              <c:f>'Calculo ALFA'!$C$57</c:f>
              <c:strCache>
                <c:ptCount val="1"/>
                <c:pt idx="0">
                  <c:v>AA120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'Calculo ALFA'!$D$53:$H$53</c:f>
              <c:numCache>
                <c:formatCode>mmm\-yy</c:formatCode>
                <c:ptCount val="5"/>
                <c:pt idx="0">
                  <c:v>43313</c:v>
                </c:pt>
                <c:pt idx="1">
                  <c:v>43374</c:v>
                </c:pt>
                <c:pt idx="2">
                  <c:v>43435</c:v>
                </c:pt>
                <c:pt idx="3">
                  <c:v>43525</c:v>
                </c:pt>
                <c:pt idx="4">
                  <c:v>43556</c:v>
                </c:pt>
              </c:numCache>
            </c:numRef>
          </c:xVal>
          <c:yVal>
            <c:numRef>
              <c:f>'Calculo ALFA'!$D$57:$H$57</c:f>
              <c:numCache>
                <c:formatCode>0.00</c:formatCode>
                <c:ptCount val="5"/>
                <c:pt idx="2">
                  <c:v>206</c:v>
                </c:pt>
                <c:pt idx="3">
                  <c:v>206</c:v>
                </c:pt>
                <c:pt idx="4">
                  <c:v>206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F92-4014-8B17-3787C1511FE2}"/>
            </c:ext>
          </c:extLst>
        </c:ser>
        <c:ser>
          <c:idx val="4"/>
          <c:order val="4"/>
          <c:tx>
            <c:strRef>
              <c:f>'Calculo ALFA'!$C$58</c:f>
              <c:strCache>
                <c:ptCount val="1"/>
                <c:pt idx="0">
                  <c:v>AA103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'Calculo ALFA'!$D$53:$H$53</c:f>
              <c:numCache>
                <c:formatCode>mmm\-yy</c:formatCode>
                <c:ptCount val="5"/>
                <c:pt idx="0">
                  <c:v>43313</c:v>
                </c:pt>
                <c:pt idx="1">
                  <c:v>43374</c:v>
                </c:pt>
                <c:pt idx="2">
                  <c:v>43435</c:v>
                </c:pt>
                <c:pt idx="3">
                  <c:v>43525</c:v>
                </c:pt>
                <c:pt idx="4">
                  <c:v>43556</c:v>
                </c:pt>
              </c:numCache>
            </c:numRef>
          </c:xVal>
          <c:yVal>
            <c:numRef>
              <c:f>'Calculo ALFA'!$D$58:$H$58</c:f>
              <c:numCache>
                <c:formatCode>0.00</c:formatCode>
                <c:ptCount val="5"/>
                <c:pt idx="2">
                  <c:v>210</c:v>
                </c:pt>
                <c:pt idx="3">
                  <c:v>213.92727272727274</c:v>
                </c:pt>
                <c:pt idx="4">
                  <c:v>213.92727272727274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F92-4014-8B17-3787C1511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8865344"/>
        <c:axId val="1610295136"/>
      </c:scatterChart>
      <c:dateAx>
        <c:axId val="1648865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10295136"/>
        <c:crosses val="autoZero"/>
        <c:auto val="1"/>
        <c:lblOffset val="100"/>
        <c:baseTimeUnit val="months"/>
      </c:dateAx>
      <c:valAx>
        <c:axId val="161029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4886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22222222222223"/>
          <c:y val="0.85069335083114606"/>
          <c:w val="0.70111111111111113"/>
          <c:h val="0.149306649168853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7"/>
          <c:order val="5"/>
          <c:tx>
            <c:strRef>
              <c:f>'Calculo ALFA'!$P$61</c:f>
              <c:strCache>
                <c:ptCount val="1"/>
                <c:pt idx="0">
                  <c:v>Piso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'Calculo ALFA'!$Q$53:$U$53</c:f>
              <c:numCache>
                <c:formatCode>mmm\-yy</c:formatCode>
                <c:ptCount val="5"/>
                <c:pt idx="0">
                  <c:v>43313</c:v>
                </c:pt>
                <c:pt idx="1">
                  <c:v>43374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</c:numCache>
            </c:numRef>
          </c:cat>
          <c:val>
            <c:numRef>
              <c:f>'Calculo ALFA'!$Q$61:$U$61</c:f>
              <c:numCache>
                <c:formatCode>0.00</c:formatCode>
                <c:ptCount val="5"/>
                <c:pt idx="0">
                  <c:v>194.50000000000003</c:v>
                </c:pt>
                <c:pt idx="1">
                  <c:v>194.50000000000003</c:v>
                </c:pt>
                <c:pt idx="2">
                  <c:v>196.375</c:v>
                </c:pt>
                <c:pt idx="3">
                  <c:v>196.81048387096774</c:v>
                </c:pt>
                <c:pt idx="4">
                  <c:v>197.81612903225806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505-45B4-BF6E-DEF618CFE54E}"/>
            </c:ext>
          </c:extLst>
        </c:ser>
        <c:ser>
          <c:idx val="8"/>
          <c:order val="6"/>
          <c:tx>
            <c:strRef>
              <c:f>'Calculo ALFA'!$P$62</c:f>
              <c:strCache>
                <c:ptCount val="1"/>
                <c:pt idx="0">
                  <c:v>Techo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'Calculo ALFA'!$Q$53:$U$53</c:f>
              <c:numCache>
                <c:formatCode>mmm\-yy</c:formatCode>
                <c:ptCount val="5"/>
                <c:pt idx="0">
                  <c:v>43313</c:v>
                </c:pt>
                <c:pt idx="1">
                  <c:v>43374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</c:numCache>
            </c:numRef>
          </c:cat>
          <c:val>
            <c:numRef>
              <c:f>'Calculo ALFA'!$Q$62:$U$62</c:f>
              <c:numCache>
                <c:formatCode>0.00</c:formatCode>
                <c:ptCount val="5"/>
                <c:pt idx="0">
                  <c:v>194.50000000000003</c:v>
                </c:pt>
                <c:pt idx="1">
                  <c:v>197.99999999999997</c:v>
                </c:pt>
                <c:pt idx="2">
                  <c:v>201.625</c:v>
                </c:pt>
                <c:pt idx="3">
                  <c:v>201.77016129032256</c:v>
                </c:pt>
                <c:pt idx="4">
                  <c:v>202.18387096774194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505-45B4-BF6E-DEF618CFE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0791296"/>
        <c:axId val="1610313856"/>
      </c:lineChart>
      <c:scatterChart>
        <c:scatterStyle val="lineMarker"/>
        <c:varyColors val="0"/>
        <c:ser>
          <c:idx val="0"/>
          <c:order val="0"/>
          <c:tx>
            <c:strRef>
              <c:f>'Calculo ALFA'!$P$54</c:f>
              <c:strCache>
                <c:ptCount val="1"/>
                <c:pt idx="0">
                  <c:v>AA110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'Calculo ALFA'!$Q$53:$U$53</c:f>
              <c:numCache>
                <c:formatCode>mmm\-yy</c:formatCode>
                <c:ptCount val="5"/>
                <c:pt idx="0">
                  <c:v>43313</c:v>
                </c:pt>
                <c:pt idx="1">
                  <c:v>43374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</c:numCache>
            </c:numRef>
          </c:xVal>
          <c:yVal>
            <c:numRef>
              <c:f>'Calculo ALFA'!$Q$54:$U$54</c:f>
              <c:numCache>
                <c:formatCode>0.00</c:formatCode>
                <c:ptCount val="5"/>
                <c:pt idx="0">
                  <c:v>194.50000000000003</c:v>
                </c:pt>
                <c:pt idx="1">
                  <c:v>194.50000000000003</c:v>
                </c:pt>
                <c:pt idx="2">
                  <c:v>194.50000000000003</c:v>
                </c:pt>
                <c:pt idx="3">
                  <c:v>194.50000000000003</c:v>
                </c:pt>
                <c:pt idx="4">
                  <c:v>194.50000000000003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05-45B4-BF6E-DEF618CFE54E}"/>
            </c:ext>
          </c:extLst>
        </c:ser>
        <c:ser>
          <c:idx val="1"/>
          <c:order val="1"/>
          <c:tx>
            <c:strRef>
              <c:f>'Calculo ALFA'!$P$55</c:f>
              <c:strCache>
                <c:ptCount val="1"/>
                <c:pt idx="0">
                  <c:v>AA103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'Calculo ALFA'!$Q$53:$U$53</c:f>
              <c:numCache>
                <c:formatCode>mmm\-yy</c:formatCode>
                <c:ptCount val="5"/>
                <c:pt idx="0">
                  <c:v>43313</c:v>
                </c:pt>
                <c:pt idx="1">
                  <c:v>43374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</c:numCache>
            </c:numRef>
          </c:xVal>
          <c:yVal>
            <c:numRef>
              <c:f>'Calculo ALFA'!$Q$55:$U$55</c:f>
              <c:numCache>
                <c:formatCode>0.00</c:formatCode>
                <c:ptCount val="5"/>
                <c:pt idx="1">
                  <c:v>197.99999999999997</c:v>
                </c:pt>
                <c:pt idx="2">
                  <c:v>197.99999999999997</c:v>
                </c:pt>
                <c:pt idx="3">
                  <c:v>198.58064516129031</c:v>
                </c:pt>
                <c:pt idx="4">
                  <c:v>198.58064516129031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05-45B4-BF6E-DEF618CFE54E}"/>
            </c:ext>
          </c:extLst>
        </c:ser>
        <c:ser>
          <c:idx val="2"/>
          <c:order val="2"/>
          <c:tx>
            <c:strRef>
              <c:f>'Calculo ALFA'!$P$56</c:f>
              <c:strCache>
                <c:ptCount val="1"/>
                <c:pt idx="0">
                  <c:v>AA119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'Calculo ALFA'!$Q$53:$U$53</c:f>
              <c:numCache>
                <c:formatCode>mmm\-yy</c:formatCode>
                <c:ptCount val="5"/>
                <c:pt idx="0">
                  <c:v>43313</c:v>
                </c:pt>
                <c:pt idx="1">
                  <c:v>43374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</c:numCache>
            </c:numRef>
          </c:xVal>
          <c:yVal>
            <c:numRef>
              <c:f>'Calculo ALFA'!$Q$56:$U$56</c:f>
              <c:numCache>
                <c:formatCode>0.00</c:formatCode>
                <c:ptCount val="5"/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05-45B4-BF6E-DEF618CFE54E}"/>
            </c:ext>
          </c:extLst>
        </c:ser>
        <c:ser>
          <c:idx val="3"/>
          <c:order val="3"/>
          <c:tx>
            <c:strRef>
              <c:f>'Calculo ALFA'!$P$57</c:f>
              <c:strCache>
                <c:ptCount val="1"/>
                <c:pt idx="0">
                  <c:v>AA121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'Calculo ALFA'!$Q$53:$U$53</c:f>
              <c:numCache>
                <c:formatCode>mmm\-yy</c:formatCode>
                <c:ptCount val="5"/>
                <c:pt idx="0">
                  <c:v>43313</c:v>
                </c:pt>
                <c:pt idx="1">
                  <c:v>43374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</c:numCache>
            </c:numRef>
          </c:xVal>
          <c:yVal>
            <c:numRef>
              <c:f>'Calculo ALFA'!$Q$57:$U$57</c:f>
              <c:numCache>
                <c:formatCode>0.00</c:formatCode>
                <c:ptCount val="5"/>
                <c:pt idx="4">
                  <c:v>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05-45B4-BF6E-DEF618CFE54E}"/>
            </c:ext>
          </c:extLst>
        </c:ser>
        <c:ser>
          <c:idx val="4"/>
          <c:order val="4"/>
          <c:tx>
            <c:strRef>
              <c:f>'Calculo ALFA'!$P$58</c:f>
              <c:strCache>
                <c:ptCount val="1"/>
                <c:pt idx="0">
                  <c:v>AA120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'Calculo ALFA'!$Q$53:$U$53</c:f>
              <c:numCache>
                <c:formatCode>mmm\-yy</c:formatCode>
                <c:ptCount val="5"/>
                <c:pt idx="0">
                  <c:v>43313</c:v>
                </c:pt>
                <c:pt idx="1">
                  <c:v>43374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</c:numCache>
            </c:numRef>
          </c:xVal>
          <c:yVal>
            <c:numRef>
              <c:f>'Calculo ALFA'!$Q$58:$U$58</c:f>
              <c:numCache>
                <c:formatCode>0.00</c:formatCode>
                <c:ptCount val="5"/>
                <c:pt idx="2">
                  <c:v>203</c:v>
                </c:pt>
                <c:pt idx="3">
                  <c:v>203</c:v>
                </c:pt>
                <c:pt idx="4">
                  <c:v>203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05-45B4-BF6E-DEF618CFE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791296"/>
        <c:axId val="1610313856"/>
      </c:scatterChart>
      <c:dateAx>
        <c:axId val="1740791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10313856"/>
        <c:crosses val="autoZero"/>
        <c:auto val="1"/>
        <c:lblOffset val="100"/>
        <c:baseTimeUnit val="months"/>
      </c:dateAx>
      <c:valAx>
        <c:axId val="161031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4079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Precios Promedio por</a:t>
            </a:r>
            <a:r>
              <a:rPr lang="es-CO" sz="1200" baseline="0"/>
              <a:t> agente- Contrato Abril 2019</a:t>
            </a:r>
            <a:endParaRPr lang="es-CO" sz="1200"/>
          </a:p>
        </c:rich>
      </c:tx>
      <c:layout>
        <c:manualLayout>
          <c:xMode val="edge"/>
          <c:yMode val="edge"/>
          <c:x val="0.2077907179850525"/>
          <c:y val="3.7523393759567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3655374117040752E-2"/>
          <c:y val="0.14325816908992298"/>
          <c:w val="0.88052107743164199"/>
          <c:h val="0.60423789343054568"/>
        </c:manualLayout>
      </c:layout>
      <c:lineChart>
        <c:grouping val="standard"/>
        <c:varyColors val="0"/>
        <c:ser>
          <c:idx val="7"/>
          <c:order val="5"/>
          <c:tx>
            <c:strRef>
              <c:f>'Propuesta XM'!$C$73</c:f>
              <c:strCache>
                <c:ptCount val="1"/>
                <c:pt idx="0">
                  <c:v>PISO</c:v>
                </c:pt>
              </c:strCache>
            </c:strRef>
          </c:tx>
          <c:spPr>
            <a:ln w="1905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9DC1-48C8-A7F4-E3A35F04045B}"/>
              </c:ext>
            </c:extLst>
          </c:dPt>
          <c:cat>
            <c:numRef>
              <c:f>'Propuesta XM'!$D$67:$L$67</c:f>
              <c:numCache>
                <c:formatCode>mmm\-yy</c:formatCode>
                <c:ptCount val="9"/>
                <c:pt idx="0">
                  <c:v>43313</c:v>
                </c:pt>
                <c:pt idx="1">
                  <c:v>43344</c:v>
                </c:pt>
                <c:pt idx="2">
                  <c:v>43374</c:v>
                </c:pt>
                <c:pt idx="3">
                  <c:v>43405</c:v>
                </c:pt>
                <c:pt idx="4">
                  <c:v>43435</c:v>
                </c:pt>
                <c:pt idx="5">
                  <c:v>43466</c:v>
                </c:pt>
                <c:pt idx="6">
                  <c:v>43497</c:v>
                </c:pt>
                <c:pt idx="7">
                  <c:v>43525</c:v>
                </c:pt>
                <c:pt idx="8">
                  <c:v>43556</c:v>
                </c:pt>
              </c:numCache>
            </c:numRef>
          </c:cat>
          <c:val>
            <c:numRef>
              <c:f>'Propuesta XM'!$D$73:$L$73</c:f>
              <c:numCache>
                <c:formatCode>General</c:formatCode>
                <c:ptCount val="9"/>
                <c:pt idx="0">
                  <c:v>192.59999999999997</c:v>
                </c:pt>
                <c:pt idx="1">
                  <c:v>192.59999999999997</c:v>
                </c:pt>
                <c:pt idx="2">
                  <c:v>192.59999999999997</c:v>
                </c:pt>
                <c:pt idx="3">
                  <c:v>192.59999999999997</c:v>
                </c:pt>
                <c:pt idx="4">
                  <c:v>192.59999999999997</c:v>
                </c:pt>
                <c:pt idx="5" formatCode="0.00">
                  <c:v>215.08108108108109</c:v>
                </c:pt>
                <c:pt idx="6" formatCode="0.00">
                  <c:v>215.08108108108109</c:v>
                </c:pt>
                <c:pt idx="7" formatCode="0.00">
                  <c:v>215.08108108108109</c:v>
                </c:pt>
                <c:pt idx="8" formatCode="0.00">
                  <c:v>215.08108108108109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C1-48C8-A7F4-E3A35F04045B}"/>
            </c:ext>
          </c:extLst>
        </c:ser>
        <c:ser>
          <c:idx val="8"/>
          <c:order val="6"/>
          <c:tx>
            <c:strRef>
              <c:f>'Propuesta XM'!$C$74</c:f>
              <c:strCache>
                <c:ptCount val="1"/>
                <c:pt idx="0">
                  <c:v>TECHO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9DC1-48C8-A7F4-E3A35F04045B}"/>
              </c:ext>
            </c:extLst>
          </c:dPt>
          <c:cat>
            <c:numRef>
              <c:f>'Propuesta XM'!$D$67:$L$67</c:f>
              <c:numCache>
                <c:formatCode>mmm\-yy</c:formatCode>
                <c:ptCount val="9"/>
                <c:pt idx="0">
                  <c:v>43313</c:v>
                </c:pt>
                <c:pt idx="1">
                  <c:v>43344</c:v>
                </c:pt>
                <c:pt idx="2">
                  <c:v>43374</c:v>
                </c:pt>
                <c:pt idx="3">
                  <c:v>43405</c:v>
                </c:pt>
                <c:pt idx="4">
                  <c:v>43435</c:v>
                </c:pt>
                <c:pt idx="5">
                  <c:v>43466</c:v>
                </c:pt>
                <c:pt idx="6">
                  <c:v>43497</c:v>
                </c:pt>
                <c:pt idx="7">
                  <c:v>43525</c:v>
                </c:pt>
                <c:pt idx="8">
                  <c:v>43556</c:v>
                </c:pt>
              </c:numCache>
            </c:numRef>
          </c:cat>
          <c:val>
            <c:numRef>
              <c:f>'Propuesta XM'!$D$74:$L$74</c:f>
              <c:numCache>
                <c:formatCode>General</c:formatCode>
                <c:ptCount val="9"/>
                <c:pt idx="0">
                  <c:v>203.39999999999998</c:v>
                </c:pt>
                <c:pt idx="1">
                  <c:v>203.39999999999998</c:v>
                </c:pt>
                <c:pt idx="2">
                  <c:v>203.39999999999998</c:v>
                </c:pt>
                <c:pt idx="3">
                  <c:v>203.39999999999998</c:v>
                </c:pt>
                <c:pt idx="4">
                  <c:v>203.39999999999998</c:v>
                </c:pt>
                <c:pt idx="5" formatCode="0.00">
                  <c:v>216</c:v>
                </c:pt>
                <c:pt idx="6" formatCode="0.00">
                  <c:v>216</c:v>
                </c:pt>
                <c:pt idx="7" formatCode="0.00">
                  <c:v>216</c:v>
                </c:pt>
                <c:pt idx="8" formatCode="0.00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C1-48C8-A7F4-E3A35F040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865344"/>
        <c:axId val="1610295136"/>
      </c:lineChart>
      <c:scatterChart>
        <c:scatterStyle val="lineMarker"/>
        <c:varyColors val="0"/>
        <c:ser>
          <c:idx val="0"/>
          <c:order val="0"/>
          <c:tx>
            <c:strRef>
              <c:f>'Propuesta XM'!$C$68</c:f>
              <c:strCache>
                <c:ptCount val="1"/>
                <c:pt idx="0">
                  <c:v>AA113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'Propuesta XM'!$D$67:$L$67</c:f>
              <c:numCache>
                <c:formatCode>mmm\-yy</c:formatCode>
                <c:ptCount val="9"/>
                <c:pt idx="0">
                  <c:v>43313</c:v>
                </c:pt>
                <c:pt idx="1">
                  <c:v>43344</c:v>
                </c:pt>
                <c:pt idx="2">
                  <c:v>43374</c:v>
                </c:pt>
                <c:pt idx="3">
                  <c:v>43405</c:v>
                </c:pt>
                <c:pt idx="4">
                  <c:v>43435</c:v>
                </c:pt>
                <c:pt idx="5">
                  <c:v>43466</c:v>
                </c:pt>
                <c:pt idx="6">
                  <c:v>43497</c:v>
                </c:pt>
                <c:pt idx="7">
                  <c:v>43525</c:v>
                </c:pt>
                <c:pt idx="8">
                  <c:v>43556</c:v>
                </c:pt>
              </c:numCache>
            </c:numRef>
          </c:xVal>
          <c:yVal>
            <c:numRef>
              <c:f>'Propuesta XM'!$D$68:$L$68</c:f>
              <c:numCache>
                <c:formatCode>General</c:formatCode>
                <c:ptCount val="9"/>
                <c:pt idx="0">
                  <c:v>194.5</c:v>
                </c:pt>
                <c:pt idx="1">
                  <c:v>194.5</c:v>
                </c:pt>
                <c:pt idx="2">
                  <c:v>194.5</c:v>
                </c:pt>
                <c:pt idx="3">
                  <c:v>194.5</c:v>
                </c:pt>
                <c:pt idx="4" formatCode="0">
                  <c:v>194.5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C1-48C8-A7F4-E3A35F04045B}"/>
            </c:ext>
          </c:extLst>
        </c:ser>
        <c:ser>
          <c:idx val="1"/>
          <c:order val="1"/>
          <c:tx>
            <c:strRef>
              <c:f>'Propuesta XM'!$C$69</c:f>
              <c:strCache>
                <c:ptCount val="1"/>
                <c:pt idx="0">
                  <c:v>AA119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22225" cmpd="sng">
                <a:noFill/>
              </a:ln>
              <a:effectLst/>
            </c:spPr>
          </c:marker>
          <c:xVal>
            <c:numRef>
              <c:f>'Propuesta XM'!$D$67:$L$67</c:f>
              <c:numCache>
                <c:formatCode>mmm\-yy</c:formatCode>
                <c:ptCount val="9"/>
                <c:pt idx="0">
                  <c:v>43313</c:v>
                </c:pt>
                <c:pt idx="1">
                  <c:v>43344</c:v>
                </c:pt>
                <c:pt idx="2">
                  <c:v>43374</c:v>
                </c:pt>
                <c:pt idx="3">
                  <c:v>43405</c:v>
                </c:pt>
                <c:pt idx="4">
                  <c:v>43435</c:v>
                </c:pt>
                <c:pt idx="5">
                  <c:v>43466</c:v>
                </c:pt>
                <c:pt idx="6">
                  <c:v>43497</c:v>
                </c:pt>
                <c:pt idx="7">
                  <c:v>43525</c:v>
                </c:pt>
                <c:pt idx="8">
                  <c:v>43556</c:v>
                </c:pt>
              </c:numCache>
            </c:numRef>
          </c:xVal>
          <c:yVal>
            <c:numRef>
              <c:f>'Propuesta XM'!$D$69:$L$69</c:f>
              <c:numCache>
                <c:formatCode>General</c:formatCode>
                <c:ptCount val="9"/>
                <c:pt idx="0">
                  <c:v>194.5</c:v>
                </c:pt>
                <c:pt idx="1">
                  <c:v>194.5</c:v>
                </c:pt>
                <c:pt idx="2">
                  <c:v>194.5</c:v>
                </c:pt>
                <c:pt idx="3">
                  <c:v>194.5</c:v>
                </c:pt>
                <c:pt idx="4" formatCode="0">
                  <c:v>194.5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C1-48C8-A7F4-E3A35F04045B}"/>
            </c:ext>
          </c:extLst>
        </c:ser>
        <c:ser>
          <c:idx val="2"/>
          <c:order val="2"/>
          <c:tx>
            <c:strRef>
              <c:f>'Propuesta XM'!$C$70</c:f>
              <c:strCache>
                <c:ptCount val="1"/>
                <c:pt idx="0">
                  <c:v>AA110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'Propuesta XM'!$D$67:$L$67</c:f>
              <c:numCache>
                <c:formatCode>mmm\-yy</c:formatCode>
                <c:ptCount val="9"/>
                <c:pt idx="0">
                  <c:v>43313</c:v>
                </c:pt>
                <c:pt idx="1">
                  <c:v>43344</c:v>
                </c:pt>
                <c:pt idx="2">
                  <c:v>43374</c:v>
                </c:pt>
                <c:pt idx="3">
                  <c:v>43405</c:v>
                </c:pt>
                <c:pt idx="4">
                  <c:v>43435</c:v>
                </c:pt>
                <c:pt idx="5">
                  <c:v>43466</c:v>
                </c:pt>
                <c:pt idx="6">
                  <c:v>43497</c:v>
                </c:pt>
                <c:pt idx="7">
                  <c:v>43525</c:v>
                </c:pt>
                <c:pt idx="8">
                  <c:v>43556</c:v>
                </c:pt>
              </c:numCache>
            </c:numRef>
          </c:xVal>
          <c:yVal>
            <c:numRef>
              <c:f>'Propuesta XM'!$D$70:$L$70</c:f>
              <c:numCache>
                <c:formatCode>General</c:formatCode>
                <c:ptCount val="9"/>
                <c:pt idx="2">
                  <c:v>197.99999999999997</c:v>
                </c:pt>
                <c:pt idx="3">
                  <c:v>197.99999999999997</c:v>
                </c:pt>
                <c:pt idx="4" formatCode="0">
                  <c:v>197.99999999999997</c:v>
                </c:pt>
                <c:pt idx="7" formatCode="0.00">
                  <c:v>215.08108108108109</c:v>
                </c:pt>
                <c:pt idx="8" formatCode="0.00">
                  <c:v>215.08108108108109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C1-48C8-A7F4-E3A35F04045B}"/>
            </c:ext>
          </c:extLst>
        </c:ser>
        <c:ser>
          <c:idx val="3"/>
          <c:order val="3"/>
          <c:tx>
            <c:strRef>
              <c:f>'Propuesta XM'!$C$71</c:f>
              <c:strCache>
                <c:ptCount val="1"/>
                <c:pt idx="0">
                  <c:v>AA120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'Propuesta XM'!$D$67:$L$67</c:f>
              <c:numCache>
                <c:formatCode>mmm\-yy</c:formatCode>
                <c:ptCount val="9"/>
                <c:pt idx="0">
                  <c:v>43313</c:v>
                </c:pt>
                <c:pt idx="1">
                  <c:v>43344</c:v>
                </c:pt>
                <c:pt idx="2">
                  <c:v>43374</c:v>
                </c:pt>
                <c:pt idx="3">
                  <c:v>43405</c:v>
                </c:pt>
                <c:pt idx="4">
                  <c:v>43435</c:v>
                </c:pt>
                <c:pt idx="5">
                  <c:v>43466</c:v>
                </c:pt>
                <c:pt idx="6">
                  <c:v>43497</c:v>
                </c:pt>
                <c:pt idx="7">
                  <c:v>43525</c:v>
                </c:pt>
                <c:pt idx="8">
                  <c:v>43556</c:v>
                </c:pt>
              </c:numCache>
            </c:numRef>
          </c:xVal>
          <c:yVal>
            <c:numRef>
              <c:f>'Propuesta XM'!$D$71:$L$71</c:f>
              <c:numCache>
                <c:formatCode>General</c:formatCode>
                <c:ptCount val="9"/>
                <c:pt idx="4" formatCode="0">
                  <c:v>206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C1-48C8-A7F4-E3A35F04045B}"/>
            </c:ext>
          </c:extLst>
        </c:ser>
        <c:ser>
          <c:idx val="4"/>
          <c:order val="4"/>
          <c:tx>
            <c:strRef>
              <c:f>'Propuesta XM'!$C$72</c:f>
              <c:strCache>
                <c:ptCount val="1"/>
                <c:pt idx="0">
                  <c:v>AA103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0070C0"/>
              </a:solidFill>
              <a:ln w="9525">
                <a:solidFill>
                  <a:schemeClr val="accent5">
                    <a:lumMod val="75000"/>
                  </a:schemeClr>
                </a:solidFill>
              </a:ln>
              <a:effectLst/>
            </c:spPr>
          </c:marker>
          <c:xVal>
            <c:numRef>
              <c:f>'Propuesta XM'!$D$67:$L$67</c:f>
              <c:numCache>
                <c:formatCode>mmm\-yy</c:formatCode>
                <c:ptCount val="9"/>
                <c:pt idx="0">
                  <c:v>43313</c:v>
                </c:pt>
                <c:pt idx="1">
                  <c:v>43344</c:v>
                </c:pt>
                <c:pt idx="2">
                  <c:v>43374</c:v>
                </c:pt>
                <c:pt idx="3">
                  <c:v>43405</c:v>
                </c:pt>
                <c:pt idx="4">
                  <c:v>43435</c:v>
                </c:pt>
                <c:pt idx="5">
                  <c:v>43466</c:v>
                </c:pt>
                <c:pt idx="6">
                  <c:v>43497</c:v>
                </c:pt>
                <c:pt idx="7">
                  <c:v>43525</c:v>
                </c:pt>
                <c:pt idx="8">
                  <c:v>43556</c:v>
                </c:pt>
              </c:numCache>
            </c:numRef>
          </c:xVal>
          <c:yVal>
            <c:numRef>
              <c:f>'Propuesta XM'!$D$72:$L$72</c:f>
              <c:numCache>
                <c:formatCode>General</c:formatCode>
                <c:ptCount val="9"/>
                <c:pt idx="4" formatCode="0">
                  <c:v>210</c:v>
                </c:pt>
                <c:pt idx="7" formatCode="0.00">
                  <c:v>216</c:v>
                </c:pt>
                <c:pt idx="8" formatCode="0.00">
                  <c:v>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C1-48C8-A7F4-E3A35F040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8865344"/>
        <c:axId val="1610295136"/>
      </c:scatterChart>
      <c:dateAx>
        <c:axId val="1648865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10295136"/>
        <c:crosses val="autoZero"/>
        <c:auto val="1"/>
        <c:lblOffset val="100"/>
        <c:baseTimeUnit val="months"/>
      </c:dateAx>
      <c:valAx>
        <c:axId val="161029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48865344"/>
        <c:crosses val="autoZero"/>
        <c:crossBetween val="between"/>
      </c:valAx>
      <c:spPr>
        <a:noFill/>
        <a:ln>
          <a:solidFill>
            <a:schemeClr val="accent5">
              <a:lumMod val="7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7722222222222223"/>
          <c:y val="0.85069335083114606"/>
          <c:w val="0.70111111111111113"/>
          <c:h val="0.149306649168853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7"/>
          <c:order val="5"/>
          <c:tx>
            <c:strRef>
              <c:f>'Propuesta XM'!$P$73</c:f>
              <c:strCache>
                <c:ptCount val="1"/>
                <c:pt idx="0">
                  <c:v>Piso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B85F-48A1-A947-E15246E0FF8F}"/>
              </c:ext>
            </c:extLst>
          </c:dPt>
          <c:cat>
            <c:numRef>
              <c:f>'Propuesta XM'!$Q$67:$Z$67</c:f>
              <c:numCache>
                <c:formatCode>mmm\-yy</c:formatCode>
                <c:ptCount val="10"/>
                <c:pt idx="0">
                  <c:v>43313</c:v>
                </c:pt>
                <c:pt idx="1">
                  <c:v>43344</c:v>
                </c:pt>
                <c:pt idx="2">
                  <c:v>43374</c:v>
                </c:pt>
                <c:pt idx="3">
                  <c:v>43405</c:v>
                </c:pt>
                <c:pt idx="4">
                  <c:v>43435</c:v>
                </c:pt>
                <c:pt idx="5">
                  <c:v>43466</c:v>
                </c:pt>
                <c:pt idx="6">
                  <c:v>43497</c:v>
                </c:pt>
                <c:pt idx="7">
                  <c:v>43525</c:v>
                </c:pt>
                <c:pt idx="8">
                  <c:v>43556</c:v>
                </c:pt>
                <c:pt idx="9">
                  <c:v>43586</c:v>
                </c:pt>
              </c:numCache>
            </c:numRef>
          </c:cat>
          <c:val>
            <c:numRef>
              <c:f>'Propuesta XM'!$Q$73:$Z$73</c:f>
              <c:numCache>
                <c:formatCode>General</c:formatCode>
                <c:ptCount val="10"/>
                <c:pt idx="0">
                  <c:v>194.50000000000003</c:v>
                </c:pt>
                <c:pt idx="1">
                  <c:v>194.50000000000003</c:v>
                </c:pt>
                <c:pt idx="2">
                  <c:v>194.50000000000003</c:v>
                </c:pt>
                <c:pt idx="3">
                  <c:v>194.50000000000003</c:v>
                </c:pt>
                <c:pt idx="4">
                  <c:v>194.50000000000003</c:v>
                </c:pt>
                <c:pt idx="5">
                  <c:v>199.5</c:v>
                </c:pt>
                <c:pt idx="6">
                  <c:v>199.5</c:v>
                </c:pt>
                <c:pt idx="7">
                  <c:v>199.5</c:v>
                </c:pt>
                <c:pt idx="8">
                  <c:v>199.5</c:v>
                </c:pt>
                <c:pt idx="9">
                  <c:v>199.5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5F-48A1-A947-E15246E0FF8F}"/>
            </c:ext>
          </c:extLst>
        </c:ser>
        <c:ser>
          <c:idx val="8"/>
          <c:order val="6"/>
          <c:tx>
            <c:strRef>
              <c:f>'Propuesta XM'!$P$74</c:f>
              <c:strCache>
                <c:ptCount val="1"/>
                <c:pt idx="0">
                  <c:v>Techo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85F-48A1-A947-E15246E0FF8F}"/>
              </c:ext>
            </c:extLst>
          </c:dPt>
          <c:cat>
            <c:numRef>
              <c:f>'Propuesta XM'!$Q$67:$Z$67</c:f>
              <c:numCache>
                <c:formatCode>mmm\-yy</c:formatCode>
                <c:ptCount val="10"/>
                <c:pt idx="0">
                  <c:v>43313</c:v>
                </c:pt>
                <c:pt idx="1">
                  <c:v>43344</c:v>
                </c:pt>
                <c:pt idx="2">
                  <c:v>43374</c:v>
                </c:pt>
                <c:pt idx="3">
                  <c:v>43405</c:v>
                </c:pt>
                <c:pt idx="4">
                  <c:v>43435</c:v>
                </c:pt>
                <c:pt idx="5">
                  <c:v>43466</c:v>
                </c:pt>
                <c:pt idx="6">
                  <c:v>43497</c:v>
                </c:pt>
                <c:pt idx="7">
                  <c:v>43525</c:v>
                </c:pt>
                <c:pt idx="8">
                  <c:v>43556</c:v>
                </c:pt>
                <c:pt idx="9">
                  <c:v>43586</c:v>
                </c:pt>
              </c:numCache>
            </c:numRef>
          </c:cat>
          <c:val>
            <c:numRef>
              <c:f>'Propuesta XM'!$Q$74:$Z$74</c:f>
              <c:numCache>
                <c:formatCode>General</c:formatCode>
                <c:ptCount val="10"/>
                <c:pt idx="0">
                  <c:v>197.99999999999997</c:v>
                </c:pt>
                <c:pt idx="1">
                  <c:v>197.99999999999997</c:v>
                </c:pt>
                <c:pt idx="2">
                  <c:v>197.99999999999997</c:v>
                </c:pt>
                <c:pt idx="3">
                  <c:v>197.99999999999997</c:v>
                </c:pt>
                <c:pt idx="4">
                  <c:v>197.99999999999997</c:v>
                </c:pt>
                <c:pt idx="5">
                  <c:v>201.5</c:v>
                </c:pt>
                <c:pt idx="6">
                  <c:v>201.5</c:v>
                </c:pt>
                <c:pt idx="7">
                  <c:v>201.5</c:v>
                </c:pt>
                <c:pt idx="8">
                  <c:v>201.5</c:v>
                </c:pt>
                <c:pt idx="9">
                  <c:v>201.5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5F-48A1-A947-E15246E0F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0791296"/>
        <c:axId val="1610313856"/>
      </c:lineChart>
      <c:scatterChart>
        <c:scatterStyle val="lineMarker"/>
        <c:varyColors val="0"/>
        <c:ser>
          <c:idx val="0"/>
          <c:order val="0"/>
          <c:tx>
            <c:strRef>
              <c:f>'Propuesta XM'!$P$68</c:f>
              <c:strCache>
                <c:ptCount val="1"/>
                <c:pt idx="0">
                  <c:v>AA110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'Propuesta XM'!$Q$67:$Z$67</c:f>
              <c:numCache>
                <c:formatCode>mmm\-yy</c:formatCode>
                <c:ptCount val="10"/>
                <c:pt idx="0">
                  <c:v>43313</c:v>
                </c:pt>
                <c:pt idx="1">
                  <c:v>43344</c:v>
                </c:pt>
                <c:pt idx="2">
                  <c:v>43374</c:v>
                </c:pt>
                <c:pt idx="3">
                  <c:v>43405</c:v>
                </c:pt>
                <c:pt idx="4">
                  <c:v>43435</c:v>
                </c:pt>
                <c:pt idx="5">
                  <c:v>43466</c:v>
                </c:pt>
                <c:pt idx="6">
                  <c:v>43497</c:v>
                </c:pt>
                <c:pt idx="7">
                  <c:v>43525</c:v>
                </c:pt>
                <c:pt idx="8">
                  <c:v>43556</c:v>
                </c:pt>
                <c:pt idx="9">
                  <c:v>43586</c:v>
                </c:pt>
              </c:numCache>
            </c:numRef>
          </c:xVal>
          <c:yVal>
            <c:numRef>
              <c:f>'Propuesta XM'!$Q$68:$Z$68</c:f>
              <c:numCache>
                <c:formatCode>General</c:formatCode>
                <c:ptCount val="10"/>
                <c:pt idx="0">
                  <c:v>194.50000000000003</c:v>
                </c:pt>
                <c:pt idx="1">
                  <c:v>194.50000000000003</c:v>
                </c:pt>
                <c:pt idx="2">
                  <c:v>194.50000000000003</c:v>
                </c:pt>
                <c:pt idx="3">
                  <c:v>194.50000000000003</c:v>
                </c:pt>
                <c:pt idx="4">
                  <c:v>194.50000000000003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5F-48A1-A947-E15246E0FF8F}"/>
            </c:ext>
          </c:extLst>
        </c:ser>
        <c:ser>
          <c:idx val="1"/>
          <c:order val="1"/>
          <c:tx>
            <c:strRef>
              <c:f>'Propuesta XM'!$P$69</c:f>
              <c:strCache>
                <c:ptCount val="1"/>
                <c:pt idx="0">
                  <c:v>AA103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'Propuesta XM'!$Q$67:$Z$67</c:f>
              <c:numCache>
                <c:formatCode>mmm\-yy</c:formatCode>
                <c:ptCount val="10"/>
                <c:pt idx="0">
                  <c:v>43313</c:v>
                </c:pt>
                <c:pt idx="1">
                  <c:v>43344</c:v>
                </c:pt>
                <c:pt idx="2">
                  <c:v>43374</c:v>
                </c:pt>
                <c:pt idx="3">
                  <c:v>43405</c:v>
                </c:pt>
                <c:pt idx="4">
                  <c:v>43435</c:v>
                </c:pt>
                <c:pt idx="5">
                  <c:v>43466</c:v>
                </c:pt>
                <c:pt idx="6">
                  <c:v>43497</c:v>
                </c:pt>
                <c:pt idx="7">
                  <c:v>43525</c:v>
                </c:pt>
                <c:pt idx="8">
                  <c:v>43556</c:v>
                </c:pt>
                <c:pt idx="9">
                  <c:v>43586</c:v>
                </c:pt>
              </c:numCache>
            </c:numRef>
          </c:xVal>
          <c:yVal>
            <c:numRef>
              <c:f>'Propuesta XM'!$Q$69:$Z$69</c:f>
              <c:numCache>
                <c:formatCode>General</c:formatCode>
                <c:ptCount val="10"/>
                <c:pt idx="2">
                  <c:v>197.99999999999997</c:v>
                </c:pt>
                <c:pt idx="3">
                  <c:v>197.99999999999997</c:v>
                </c:pt>
                <c:pt idx="4">
                  <c:v>197.99999999999997</c:v>
                </c:pt>
                <c:pt idx="8" formatCode="0.00">
                  <c:v>201</c:v>
                </c:pt>
                <c:pt idx="9">
                  <c:v>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5F-48A1-A947-E15246E0FF8F}"/>
            </c:ext>
          </c:extLst>
        </c:ser>
        <c:ser>
          <c:idx val="2"/>
          <c:order val="2"/>
          <c:tx>
            <c:strRef>
              <c:f>'Propuesta XM'!$P$70</c:f>
              <c:strCache>
                <c:ptCount val="1"/>
                <c:pt idx="0">
                  <c:v>AA119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'Propuesta XM'!$Q$67:$Z$67</c:f>
              <c:numCache>
                <c:formatCode>mmm\-yy</c:formatCode>
                <c:ptCount val="10"/>
                <c:pt idx="0">
                  <c:v>43313</c:v>
                </c:pt>
                <c:pt idx="1">
                  <c:v>43344</c:v>
                </c:pt>
                <c:pt idx="2">
                  <c:v>43374</c:v>
                </c:pt>
                <c:pt idx="3">
                  <c:v>43405</c:v>
                </c:pt>
                <c:pt idx="4">
                  <c:v>43435</c:v>
                </c:pt>
                <c:pt idx="5">
                  <c:v>43466</c:v>
                </c:pt>
                <c:pt idx="6">
                  <c:v>43497</c:v>
                </c:pt>
                <c:pt idx="7">
                  <c:v>43525</c:v>
                </c:pt>
                <c:pt idx="8">
                  <c:v>43556</c:v>
                </c:pt>
                <c:pt idx="9">
                  <c:v>43586</c:v>
                </c:pt>
              </c:numCache>
            </c:numRef>
          </c:xVal>
          <c:yVal>
            <c:numRef>
              <c:f>'Propuesta XM'!$Q$70:$Z$70</c:f>
              <c:numCache>
                <c:formatCode>General</c:formatCode>
                <c:ptCount val="10"/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 formatCode="0.00">
                  <c:v>200</c:v>
                </c:pt>
                <c:pt idx="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85F-48A1-A947-E15246E0FF8F}"/>
            </c:ext>
          </c:extLst>
        </c:ser>
        <c:ser>
          <c:idx val="3"/>
          <c:order val="3"/>
          <c:tx>
            <c:strRef>
              <c:f>'Propuesta XM'!$P$71</c:f>
              <c:strCache>
                <c:ptCount val="1"/>
                <c:pt idx="0">
                  <c:v>AA121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'Propuesta XM'!$Q$67:$Z$67</c:f>
              <c:numCache>
                <c:formatCode>mmm\-yy</c:formatCode>
                <c:ptCount val="10"/>
                <c:pt idx="0">
                  <c:v>43313</c:v>
                </c:pt>
                <c:pt idx="1">
                  <c:v>43344</c:v>
                </c:pt>
                <c:pt idx="2">
                  <c:v>43374</c:v>
                </c:pt>
                <c:pt idx="3">
                  <c:v>43405</c:v>
                </c:pt>
                <c:pt idx="4">
                  <c:v>43435</c:v>
                </c:pt>
                <c:pt idx="5">
                  <c:v>43466</c:v>
                </c:pt>
                <c:pt idx="6">
                  <c:v>43497</c:v>
                </c:pt>
                <c:pt idx="7">
                  <c:v>43525</c:v>
                </c:pt>
                <c:pt idx="8">
                  <c:v>43556</c:v>
                </c:pt>
                <c:pt idx="9">
                  <c:v>43586</c:v>
                </c:pt>
              </c:numCache>
            </c:numRef>
          </c:xVal>
          <c:yVal>
            <c:numRef>
              <c:f>'Propuesta XM'!$Q$71:$Z$71</c:f>
              <c:numCache>
                <c:formatCode>General</c:formatCode>
                <c:ptCount val="10"/>
                <c:pt idx="9">
                  <c:v>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85F-48A1-A947-E15246E0FF8F}"/>
            </c:ext>
          </c:extLst>
        </c:ser>
        <c:ser>
          <c:idx val="4"/>
          <c:order val="4"/>
          <c:tx>
            <c:strRef>
              <c:f>'Propuesta XM'!$P$72</c:f>
              <c:strCache>
                <c:ptCount val="1"/>
                <c:pt idx="0">
                  <c:v>AA120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'Propuesta XM'!$Q$67:$Z$67</c:f>
              <c:numCache>
                <c:formatCode>mmm\-yy</c:formatCode>
                <c:ptCount val="10"/>
                <c:pt idx="0">
                  <c:v>43313</c:v>
                </c:pt>
                <c:pt idx="1">
                  <c:v>43344</c:v>
                </c:pt>
                <c:pt idx="2">
                  <c:v>43374</c:v>
                </c:pt>
                <c:pt idx="3">
                  <c:v>43405</c:v>
                </c:pt>
                <c:pt idx="4">
                  <c:v>43435</c:v>
                </c:pt>
                <c:pt idx="5">
                  <c:v>43466</c:v>
                </c:pt>
                <c:pt idx="6">
                  <c:v>43497</c:v>
                </c:pt>
                <c:pt idx="7">
                  <c:v>43525</c:v>
                </c:pt>
                <c:pt idx="8">
                  <c:v>43556</c:v>
                </c:pt>
                <c:pt idx="9">
                  <c:v>43586</c:v>
                </c:pt>
              </c:numCache>
            </c:numRef>
          </c:xVal>
          <c:yVal>
            <c:numRef>
              <c:f>'Propuesta XM'!$Q$72:$Z$72</c:f>
              <c:numCache>
                <c:formatCode>General</c:formatCode>
                <c:ptCount val="10"/>
                <c:pt idx="5">
                  <c:v>203</c:v>
                </c:pt>
                <c:pt idx="6">
                  <c:v>203</c:v>
                </c:pt>
                <c:pt idx="7">
                  <c:v>203</c:v>
                </c:pt>
                <c:pt idx="8" formatCode="0.00">
                  <c:v>203</c:v>
                </c:pt>
                <c:pt idx="9">
                  <c:v>203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85F-48A1-A947-E15246E0F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791296"/>
        <c:axId val="1610313856"/>
      </c:scatterChart>
      <c:dateAx>
        <c:axId val="1740791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10313856"/>
        <c:crosses val="autoZero"/>
        <c:auto val="1"/>
        <c:lblOffset val="100"/>
        <c:baseTimeUnit val="months"/>
      </c:dateAx>
      <c:valAx>
        <c:axId val="161031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4079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315450</xdr:colOff>
      <xdr:row>46</xdr:row>
      <xdr:rowOff>133964</xdr:rowOff>
    </xdr:from>
    <xdr:to>
      <xdr:col>13</xdr:col>
      <xdr:colOff>1259757</xdr:colOff>
      <xdr:row>62</xdr:row>
      <xdr:rowOff>92178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CA11CB9-5F45-4F08-AC85-58D8C230F2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69644</xdr:colOff>
      <xdr:row>45</xdr:row>
      <xdr:rowOff>144207</xdr:rowOff>
    </xdr:from>
    <xdr:to>
      <xdr:col>29</xdr:col>
      <xdr:colOff>94225</xdr:colOff>
      <xdr:row>59</xdr:row>
      <xdr:rowOff>163052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6ECBB9F-863C-4998-98A2-DDF675E85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532579</xdr:colOff>
      <xdr:row>48</xdr:row>
      <xdr:rowOff>122903</xdr:rowOff>
    </xdr:from>
    <xdr:to>
      <xdr:col>14</xdr:col>
      <xdr:colOff>174110</xdr:colOff>
      <xdr:row>64</xdr:row>
      <xdr:rowOff>20483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C18025-866D-435F-B166-AE5E76ECC6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69644</xdr:colOff>
      <xdr:row>45</xdr:row>
      <xdr:rowOff>144207</xdr:rowOff>
    </xdr:from>
    <xdr:to>
      <xdr:col>29</xdr:col>
      <xdr:colOff>94225</xdr:colOff>
      <xdr:row>59</xdr:row>
      <xdr:rowOff>163052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A89AE68-7245-4E7F-A00C-524F967FA7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IC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Órdenes compra y venta"/>
      <sheetName val="Operaciones cerradas"/>
      <sheetName val="Operaciones cerradas (2)"/>
      <sheetName val="Hoja5"/>
      <sheetName val="Histórico-Valoración Derivex"/>
      <sheetName val="Vencim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D1" t="str">
            <v>NEMOTÉCNICO</v>
          </cell>
          <cell r="E1" t="str">
            <v>FECHA DE VENCIMIENTO</v>
          </cell>
        </row>
        <row r="2">
          <cell r="D2" t="str">
            <v>ELMF17F</v>
          </cell>
          <cell r="E2">
            <v>42768</v>
          </cell>
          <cell r="F2" t="str">
            <v>Enero-2017</v>
          </cell>
        </row>
        <row r="3">
          <cell r="D3" t="str">
            <v>ELMG17F</v>
          </cell>
          <cell r="E3">
            <v>42796</v>
          </cell>
          <cell r="F3" t="str">
            <v>Febrero-2017</v>
          </cell>
        </row>
        <row r="4">
          <cell r="D4" t="str">
            <v>ELMH17F</v>
          </cell>
          <cell r="E4">
            <v>42829</v>
          </cell>
          <cell r="F4" t="str">
            <v>Marzo-2017</v>
          </cell>
        </row>
        <row r="5">
          <cell r="D5" t="str">
            <v>ELMJ17F</v>
          </cell>
          <cell r="E5">
            <v>42857</v>
          </cell>
          <cell r="F5" t="str">
            <v>Abril-2017</v>
          </cell>
        </row>
        <row r="6">
          <cell r="D6" t="str">
            <v>ELMK17F</v>
          </cell>
          <cell r="E6">
            <v>42888</v>
          </cell>
          <cell r="F6" t="str">
            <v>Mayo-2017</v>
          </cell>
        </row>
        <row r="7">
          <cell r="D7" t="str">
            <v>ELMM17F</v>
          </cell>
          <cell r="E7">
            <v>42920</v>
          </cell>
          <cell r="F7" t="str">
            <v>Junio-2017</v>
          </cell>
        </row>
        <row r="8">
          <cell r="D8" t="str">
            <v>ELMN17F</v>
          </cell>
          <cell r="E8">
            <v>42949</v>
          </cell>
          <cell r="F8" t="str">
            <v>Julio-2017</v>
          </cell>
        </row>
        <row r="9">
          <cell r="D9" t="str">
            <v>ELMQ17F</v>
          </cell>
          <cell r="E9">
            <v>42982</v>
          </cell>
          <cell r="F9" t="str">
            <v>Agosto-2017</v>
          </cell>
        </row>
        <row r="10">
          <cell r="D10" t="str">
            <v>ELMU17F</v>
          </cell>
          <cell r="E10">
            <v>43011</v>
          </cell>
          <cell r="F10" t="str">
            <v>Septiembre-2017</v>
          </cell>
        </row>
        <row r="11">
          <cell r="D11" t="str">
            <v>ELMV17F</v>
          </cell>
          <cell r="E11">
            <v>43041</v>
          </cell>
          <cell r="F11" t="str">
            <v>Octubre-2017</v>
          </cell>
        </row>
        <row r="12">
          <cell r="D12" t="str">
            <v>ELMX17F</v>
          </cell>
          <cell r="E12">
            <v>43073</v>
          </cell>
          <cell r="F12" t="str">
            <v>Noviembre-2017</v>
          </cell>
        </row>
        <row r="13">
          <cell r="D13" t="str">
            <v>ELMZ17F</v>
          </cell>
          <cell r="E13">
            <v>43103</v>
          </cell>
          <cell r="F13" t="str">
            <v>Diciembre-2017</v>
          </cell>
        </row>
        <row r="14">
          <cell r="D14" t="str">
            <v>ELMF18F</v>
          </cell>
          <cell r="E14">
            <v>43133</v>
          </cell>
          <cell r="F14" t="str">
            <v>Enero-2018</v>
          </cell>
        </row>
        <row r="15">
          <cell r="D15" t="str">
            <v>ELMG18F</v>
          </cell>
          <cell r="E15">
            <v>43161</v>
          </cell>
          <cell r="F15" t="str">
            <v>Febrero-2018</v>
          </cell>
        </row>
        <row r="16">
          <cell r="D16" t="str">
            <v>ELMH18F</v>
          </cell>
          <cell r="E16">
            <v>43193</v>
          </cell>
          <cell r="F16" t="str">
            <v>Marzo-2018</v>
          </cell>
        </row>
        <row r="17">
          <cell r="D17" t="str">
            <v>ELMJ18F</v>
          </cell>
          <cell r="E17">
            <v>43223</v>
          </cell>
          <cell r="F17" t="str">
            <v>Abril-2018</v>
          </cell>
        </row>
        <row r="18">
          <cell r="D18" t="str">
            <v>ELMK18F</v>
          </cell>
          <cell r="E18">
            <v>43256</v>
          </cell>
          <cell r="F18" t="str">
            <v>Mayo-2018</v>
          </cell>
        </row>
        <row r="19">
          <cell r="D19" t="str">
            <v>ELMM18F</v>
          </cell>
          <cell r="E19">
            <v>43285</v>
          </cell>
          <cell r="F19" t="str">
            <v>Junio-2018</v>
          </cell>
        </row>
        <row r="20">
          <cell r="D20" t="str">
            <v>ELMN18F</v>
          </cell>
          <cell r="E20">
            <v>43314</v>
          </cell>
          <cell r="F20" t="str">
            <v>Julio-2018</v>
          </cell>
        </row>
        <row r="21">
          <cell r="D21" t="str">
            <v>ELMQ18F</v>
          </cell>
          <cell r="E21">
            <v>43347</v>
          </cell>
          <cell r="F21" t="str">
            <v>Agosto-2018</v>
          </cell>
        </row>
        <row r="22">
          <cell r="D22" t="str">
            <v>ELMU18F</v>
          </cell>
          <cell r="E22">
            <v>43375</v>
          </cell>
          <cell r="F22" t="str">
            <v>Septiembre-2018</v>
          </cell>
        </row>
        <row r="23">
          <cell r="D23" t="str">
            <v>ELMV18F</v>
          </cell>
          <cell r="E23">
            <v>43406</v>
          </cell>
          <cell r="F23" t="str">
            <v>Octubre-2018</v>
          </cell>
        </row>
        <row r="24">
          <cell r="D24" t="str">
            <v>ELMX18F</v>
          </cell>
          <cell r="E24">
            <v>43438</v>
          </cell>
          <cell r="F24" t="str">
            <v>Noviembre-2018</v>
          </cell>
        </row>
        <row r="25">
          <cell r="D25" t="str">
            <v>ELMZ18F</v>
          </cell>
          <cell r="E25">
            <v>43468</v>
          </cell>
          <cell r="F25" t="str">
            <v>Diciembre-2018</v>
          </cell>
        </row>
        <row r="26">
          <cell r="D26" t="str">
            <v>ELMF19F</v>
          </cell>
          <cell r="E26">
            <v>43500</v>
          </cell>
          <cell r="F26" t="str">
            <v>Enero-2019</v>
          </cell>
        </row>
        <row r="27">
          <cell r="D27" t="str">
            <v>ELMG19F</v>
          </cell>
          <cell r="E27">
            <v>43528</v>
          </cell>
          <cell r="F27" t="str">
            <v>Febrero-2019</v>
          </cell>
        </row>
        <row r="28">
          <cell r="D28" t="str">
            <v>ELMH19F</v>
          </cell>
          <cell r="E28">
            <v>43557</v>
          </cell>
          <cell r="F28" t="str">
            <v>Marzo-2019</v>
          </cell>
        </row>
        <row r="29">
          <cell r="D29" t="str">
            <v>ELMJ19F</v>
          </cell>
          <cell r="E29">
            <v>43588</v>
          </cell>
          <cell r="F29" t="str">
            <v>Abril-2019</v>
          </cell>
        </row>
        <row r="30">
          <cell r="D30" t="str">
            <v>ELMK19F</v>
          </cell>
          <cell r="E30">
            <v>43621</v>
          </cell>
          <cell r="F30" t="str">
            <v>Mayo-2019</v>
          </cell>
        </row>
        <row r="31">
          <cell r="D31" t="str">
            <v>ELMM19F</v>
          </cell>
          <cell r="E31">
            <v>43649</v>
          </cell>
          <cell r="F31" t="str">
            <v>Junio-2019</v>
          </cell>
        </row>
        <row r="32">
          <cell r="D32" t="str">
            <v>ELMN19F</v>
          </cell>
          <cell r="E32">
            <v>43679</v>
          </cell>
          <cell r="F32" t="str">
            <v>Julio-2019</v>
          </cell>
        </row>
        <row r="33">
          <cell r="D33" t="str">
            <v>ELMQ19F</v>
          </cell>
          <cell r="E33">
            <v>43711</v>
          </cell>
          <cell r="F33" t="str">
            <v>Agosto-2019</v>
          </cell>
        </row>
        <row r="34">
          <cell r="D34" t="str">
            <v>ELMU19F</v>
          </cell>
          <cell r="E34">
            <v>43740</v>
          </cell>
          <cell r="F34" t="str">
            <v>Septiembre-2019</v>
          </cell>
        </row>
        <row r="35">
          <cell r="D35" t="str">
            <v>ELMV19F</v>
          </cell>
          <cell r="E35">
            <v>43774</v>
          </cell>
          <cell r="F35" t="str">
            <v>Octubre-2019</v>
          </cell>
        </row>
        <row r="36">
          <cell r="D36" t="str">
            <v>ELMX19F</v>
          </cell>
          <cell r="E36">
            <v>43802</v>
          </cell>
          <cell r="F36" t="str">
            <v>Noviembre-2019</v>
          </cell>
        </row>
        <row r="37">
          <cell r="D37" t="str">
            <v>ELMZ19F</v>
          </cell>
          <cell r="E37">
            <v>43833</v>
          </cell>
          <cell r="F37" t="str">
            <v>Diciembre-2019</v>
          </cell>
        </row>
        <row r="38">
          <cell r="D38" t="str">
            <v>ELMF20F</v>
          </cell>
          <cell r="E38">
            <v>43865</v>
          </cell>
          <cell r="F38" t="str">
            <v>Enero-2020</v>
          </cell>
        </row>
        <row r="39">
          <cell r="D39" t="str">
            <v>ELMG20F</v>
          </cell>
          <cell r="E39">
            <v>43893</v>
          </cell>
          <cell r="F39" t="str">
            <v>Febrero-2020</v>
          </cell>
        </row>
        <row r="40">
          <cell r="D40" t="str">
            <v>ELMH20F</v>
          </cell>
          <cell r="E40">
            <v>43923</v>
          </cell>
          <cell r="F40" t="str">
            <v>Marzo-2020</v>
          </cell>
        </row>
        <row r="41">
          <cell r="D41" t="str">
            <v>ELMJ20F</v>
          </cell>
          <cell r="E41">
            <v>43956</v>
          </cell>
          <cell r="F41" t="str">
            <v>Abril-2020</v>
          </cell>
        </row>
        <row r="42">
          <cell r="D42" t="str">
            <v>ELMK20F</v>
          </cell>
          <cell r="E42">
            <v>43984</v>
          </cell>
          <cell r="F42" t="str">
            <v>Mayo-2020</v>
          </cell>
        </row>
        <row r="43">
          <cell r="D43" t="str">
            <v>ELMM20F</v>
          </cell>
          <cell r="E43">
            <v>44014</v>
          </cell>
          <cell r="F43" t="str">
            <v>Junio-2020</v>
          </cell>
        </row>
        <row r="44">
          <cell r="D44" t="str">
            <v>ELMN20F</v>
          </cell>
          <cell r="E44">
            <v>44047</v>
          </cell>
          <cell r="F44" t="str">
            <v>Julio-2020</v>
          </cell>
        </row>
        <row r="45">
          <cell r="D45" t="str">
            <v>ELMQ20F</v>
          </cell>
          <cell r="E45">
            <v>44076</v>
          </cell>
          <cell r="F45" t="str">
            <v>Agosto-2020</v>
          </cell>
        </row>
        <row r="46">
          <cell r="D46" t="str">
            <v>ELMU20F</v>
          </cell>
          <cell r="E46">
            <v>44106</v>
          </cell>
          <cell r="F46" t="str">
            <v>Septiembre-2020</v>
          </cell>
        </row>
        <row r="47">
          <cell r="D47" t="str">
            <v>ELMV20F</v>
          </cell>
          <cell r="E47">
            <v>44139</v>
          </cell>
          <cell r="F47" t="str">
            <v>Octubre-2020</v>
          </cell>
        </row>
        <row r="48">
          <cell r="D48" t="str">
            <v>ELMX20F</v>
          </cell>
          <cell r="E48">
            <v>44167</v>
          </cell>
          <cell r="F48" t="str">
            <v>Noviembre-2020</v>
          </cell>
        </row>
        <row r="49">
          <cell r="D49" t="str">
            <v>ELMZ20F</v>
          </cell>
          <cell r="E49">
            <v>44201</v>
          </cell>
          <cell r="F49" t="str">
            <v>Diciembre-2020</v>
          </cell>
        </row>
        <row r="50">
          <cell r="D50" t="str">
            <v>ELMF21F</v>
          </cell>
          <cell r="E50">
            <v>44229</v>
          </cell>
          <cell r="F50" t="str">
            <v>Enero-2021</v>
          </cell>
        </row>
        <row r="51">
          <cell r="D51" t="str">
            <v>ELMG21F</v>
          </cell>
          <cell r="E51">
            <v>44257</v>
          </cell>
          <cell r="F51" t="str">
            <v>Febrero-2021</v>
          </cell>
        </row>
        <row r="52">
          <cell r="D52" t="str">
            <v>ELMH21F</v>
          </cell>
          <cell r="E52">
            <v>44292</v>
          </cell>
          <cell r="F52" t="str">
            <v>Marzo-2021</v>
          </cell>
        </row>
        <row r="53">
          <cell r="D53" t="str">
            <v>ELMJ21F</v>
          </cell>
          <cell r="E53">
            <v>44320</v>
          </cell>
          <cell r="F53" t="str">
            <v>Abril-2021</v>
          </cell>
        </row>
        <row r="54">
          <cell r="D54" t="str">
            <v>ELMK21F</v>
          </cell>
          <cell r="E54">
            <v>44349</v>
          </cell>
          <cell r="F54" t="str">
            <v>Mayo-2021</v>
          </cell>
        </row>
        <row r="55">
          <cell r="D55" t="str">
            <v>ELMM21F</v>
          </cell>
          <cell r="E55">
            <v>44379</v>
          </cell>
          <cell r="F55" t="str">
            <v>Junio-2021</v>
          </cell>
        </row>
        <row r="56">
          <cell r="D56" t="str">
            <v>ELMN21F</v>
          </cell>
          <cell r="E56">
            <v>44411</v>
          </cell>
          <cell r="F56" t="str">
            <v>Julio-2021</v>
          </cell>
        </row>
        <row r="57">
          <cell r="D57" t="str">
            <v>ELMQ21F</v>
          </cell>
          <cell r="E57">
            <v>44441</v>
          </cell>
          <cell r="F57" t="str">
            <v>Agosto-2021</v>
          </cell>
        </row>
        <row r="58">
          <cell r="D58" t="str">
            <v>ELMU21F</v>
          </cell>
          <cell r="E58">
            <v>44473</v>
          </cell>
          <cell r="F58" t="str">
            <v>Septiembre-2021</v>
          </cell>
        </row>
        <row r="59">
          <cell r="D59" t="str">
            <v>ELMV21F</v>
          </cell>
          <cell r="E59">
            <v>44503</v>
          </cell>
          <cell r="F59" t="str">
            <v>Octubre-2021</v>
          </cell>
        </row>
        <row r="60">
          <cell r="D60" t="str">
            <v>ELMX21F</v>
          </cell>
          <cell r="E60">
            <v>44532</v>
          </cell>
          <cell r="F60" t="str">
            <v>Noviembre-2021</v>
          </cell>
        </row>
        <row r="61">
          <cell r="D61" t="str">
            <v>ELMZ21F</v>
          </cell>
          <cell r="E61">
            <v>44565</v>
          </cell>
          <cell r="F61" t="str">
            <v>Diciembre-2021</v>
          </cell>
        </row>
        <row r="62">
          <cell r="D62" t="str">
            <v>ELSF17F</v>
          </cell>
          <cell r="E62">
            <v>42768</v>
          </cell>
          <cell r="F62" t="str">
            <v>Enero-2017</v>
          </cell>
        </row>
        <row r="63">
          <cell r="D63" t="str">
            <v>ELSG17F</v>
          </cell>
          <cell r="E63">
            <v>42796</v>
          </cell>
          <cell r="F63" t="str">
            <v>Febrero-2017</v>
          </cell>
        </row>
        <row r="64">
          <cell r="D64" t="str">
            <v>ELSH17F</v>
          </cell>
          <cell r="E64">
            <v>42829</v>
          </cell>
          <cell r="F64" t="str">
            <v>Marzo-2017</v>
          </cell>
        </row>
        <row r="65">
          <cell r="D65" t="str">
            <v>ELSJ17F</v>
          </cell>
          <cell r="E65">
            <v>42857</v>
          </cell>
          <cell r="F65" t="str">
            <v>Abril-2017</v>
          </cell>
        </row>
        <row r="66">
          <cell r="D66" t="str">
            <v>ELSK17F</v>
          </cell>
          <cell r="E66">
            <v>42888</v>
          </cell>
          <cell r="F66" t="str">
            <v>Mayo-2017</v>
          </cell>
        </row>
        <row r="67">
          <cell r="D67" t="str">
            <v>ELSM17F</v>
          </cell>
          <cell r="E67">
            <v>42920</v>
          </cell>
          <cell r="F67" t="str">
            <v>Junio-2017</v>
          </cell>
        </row>
        <row r="68">
          <cell r="D68" t="str">
            <v>ELSN17F</v>
          </cell>
          <cell r="E68">
            <v>42949</v>
          </cell>
          <cell r="F68" t="str">
            <v>Julio-2017</v>
          </cell>
        </row>
        <row r="69">
          <cell r="D69" t="str">
            <v>ELSQ17F</v>
          </cell>
          <cell r="E69">
            <v>42982</v>
          </cell>
          <cell r="F69" t="str">
            <v>Agosto-2017</v>
          </cell>
        </row>
        <row r="70">
          <cell r="D70" t="str">
            <v>ELSU17F</v>
          </cell>
          <cell r="E70">
            <v>43011</v>
          </cell>
          <cell r="F70" t="str">
            <v>Septiembre-2017</v>
          </cell>
        </row>
        <row r="71">
          <cell r="D71" t="str">
            <v>ELSV17F</v>
          </cell>
          <cell r="E71">
            <v>43041</v>
          </cell>
          <cell r="F71" t="str">
            <v>Octubre-2017</v>
          </cell>
        </row>
        <row r="72">
          <cell r="D72" t="str">
            <v>ELSX17F</v>
          </cell>
          <cell r="E72">
            <v>43073</v>
          </cell>
          <cell r="F72" t="str">
            <v>Noviembre-2017</v>
          </cell>
        </row>
        <row r="73">
          <cell r="D73" t="str">
            <v>ELSZ17F</v>
          </cell>
          <cell r="E73">
            <v>43103</v>
          </cell>
          <cell r="F73" t="str">
            <v>Diciembre-2017</v>
          </cell>
        </row>
        <row r="74">
          <cell r="D74" t="str">
            <v>ELSF18F</v>
          </cell>
          <cell r="E74">
            <v>43133</v>
          </cell>
          <cell r="F74" t="str">
            <v>Enero-2018</v>
          </cell>
        </row>
        <row r="75">
          <cell r="D75" t="str">
            <v>ELSG18F</v>
          </cell>
          <cell r="E75">
            <v>43161</v>
          </cell>
          <cell r="F75" t="str">
            <v>Febrero-2018</v>
          </cell>
        </row>
        <row r="76">
          <cell r="D76" t="str">
            <v>ELSH18F</v>
          </cell>
          <cell r="E76">
            <v>43193</v>
          </cell>
          <cell r="F76" t="str">
            <v>Marzo-2018</v>
          </cell>
        </row>
        <row r="77">
          <cell r="D77" t="str">
            <v>ELSJ18F</v>
          </cell>
          <cell r="E77">
            <v>43223</v>
          </cell>
          <cell r="F77" t="str">
            <v>Abril-2018</v>
          </cell>
        </row>
        <row r="78">
          <cell r="D78" t="str">
            <v>ELSK18F</v>
          </cell>
          <cell r="E78">
            <v>43256</v>
          </cell>
          <cell r="F78" t="str">
            <v>Mayo-2018</v>
          </cell>
        </row>
        <row r="79">
          <cell r="D79" t="str">
            <v>ELSM18F</v>
          </cell>
          <cell r="E79">
            <v>43285</v>
          </cell>
          <cell r="F79" t="str">
            <v>Junio-2018</v>
          </cell>
        </row>
        <row r="80">
          <cell r="D80" t="str">
            <v>ELSN18F</v>
          </cell>
          <cell r="E80">
            <v>43314</v>
          </cell>
          <cell r="F80" t="str">
            <v>Julio-2018</v>
          </cell>
        </row>
        <row r="81">
          <cell r="D81" t="str">
            <v>ELSQ18F</v>
          </cell>
          <cell r="E81">
            <v>43347</v>
          </cell>
          <cell r="F81" t="str">
            <v>Agosto-2018</v>
          </cell>
        </row>
        <row r="82">
          <cell r="D82" t="str">
            <v>ELSU18F</v>
          </cell>
          <cell r="E82">
            <v>43375</v>
          </cell>
          <cell r="F82" t="str">
            <v>Septiembre-2018</v>
          </cell>
        </row>
        <row r="83">
          <cell r="D83" t="str">
            <v>ELSV18F</v>
          </cell>
          <cell r="E83">
            <v>43406</v>
          </cell>
          <cell r="F83" t="str">
            <v>Octubre-2018</v>
          </cell>
        </row>
        <row r="84">
          <cell r="D84" t="str">
            <v>ELSX18F</v>
          </cell>
          <cell r="E84">
            <v>43438</v>
          </cell>
          <cell r="F84" t="str">
            <v>Noviembre-2018</v>
          </cell>
        </row>
        <row r="85">
          <cell r="D85" t="str">
            <v>ELSZ18F</v>
          </cell>
          <cell r="E85">
            <v>43468</v>
          </cell>
          <cell r="F85" t="str">
            <v>Diciembre-2018</v>
          </cell>
        </row>
        <row r="86">
          <cell r="D86" t="str">
            <v>ELSF19F</v>
          </cell>
          <cell r="E86">
            <v>43500</v>
          </cell>
          <cell r="F86" t="str">
            <v>Enero-2019</v>
          </cell>
        </row>
        <row r="87">
          <cell r="D87" t="str">
            <v>ELSG19F</v>
          </cell>
          <cell r="E87">
            <v>43528</v>
          </cell>
          <cell r="F87" t="str">
            <v>Febrero-2019</v>
          </cell>
        </row>
        <row r="88">
          <cell r="D88" t="str">
            <v>ELSH19F</v>
          </cell>
          <cell r="E88">
            <v>43557</v>
          </cell>
          <cell r="F88" t="str">
            <v>Marzo-2019</v>
          </cell>
        </row>
        <row r="89">
          <cell r="D89" t="str">
            <v>ELSJ19F</v>
          </cell>
          <cell r="E89">
            <v>43588</v>
          </cell>
          <cell r="F89" t="str">
            <v>Abril-2019</v>
          </cell>
        </row>
        <row r="90">
          <cell r="D90" t="str">
            <v>ELSK19F</v>
          </cell>
          <cell r="E90">
            <v>43621</v>
          </cell>
          <cell r="F90" t="str">
            <v>Mayo-2019</v>
          </cell>
        </row>
        <row r="91">
          <cell r="D91" t="str">
            <v>ELSM19F</v>
          </cell>
          <cell r="E91">
            <v>43649</v>
          </cell>
          <cell r="F91" t="str">
            <v>Junio-2019</v>
          </cell>
        </row>
        <row r="92">
          <cell r="D92" t="str">
            <v>ELSN19F</v>
          </cell>
          <cell r="E92">
            <v>43679</v>
          </cell>
          <cell r="F92" t="str">
            <v>Julio-2019</v>
          </cell>
        </row>
        <row r="93">
          <cell r="D93" t="str">
            <v>ELSQ19F</v>
          </cell>
          <cell r="E93">
            <v>43711</v>
          </cell>
          <cell r="F93" t="str">
            <v>Agosto-2019</v>
          </cell>
        </row>
        <row r="94">
          <cell r="D94" t="str">
            <v>ELSU19F</v>
          </cell>
          <cell r="E94">
            <v>43740</v>
          </cell>
          <cell r="F94" t="str">
            <v>Septiembre-2019</v>
          </cell>
        </row>
        <row r="95">
          <cell r="D95" t="str">
            <v>ELSV19F</v>
          </cell>
          <cell r="E95">
            <v>43774</v>
          </cell>
          <cell r="F95" t="str">
            <v>Octubre-2019</v>
          </cell>
        </row>
        <row r="96">
          <cell r="D96" t="str">
            <v>ELSX19F</v>
          </cell>
          <cell r="E96">
            <v>43802</v>
          </cell>
          <cell r="F96" t="str">
            <v>Noviembre-2019</v>
          </cell>
        </row>
        <row r="97">
          <cell r="D97" t="str">
            <v>ELSZ19F</v>
          </cell>
          <cell r="E97">
            <v>43833</v>
          </cell>
          <cell r="F97" t="str">
            <v>Diciembre-2019</v>
          </cell>
        </row>
        <row r="98">
          <cell r="D98" t="str">
            <v>ELSF20F</v>
          </cell>
          <cell r="E98">
            <v>43865</v>
          </cell>
          <cell r="F98" t="str">
            <v>Enero-2020</v>
          </cell>
        </row>
        <row r="99">
          <cell r="D99" t="str">
            <v>ELSG20F</v>
          </cell>
          <cell r="E99">
            <v>43893</v>
          </cell>
          <cell r="F99" t="str">
            <v>Febrero-2020</v>
          </cell>
        </row>
        <row r="100">
          <cell r="D100" t="str">
            <v>ELSH20F</v>
          </cell>
          <cell r="E100">
            <v>43923</v>
          </cell>
          <cell r="F100" t="str">
            <v>Marzo-2020</v>
          </cell>
        </row>
        <row r="101">
          <cell r="D101" t="str">
            <v>ELSJ20F</v>
          </cell>
          <cell r="E101">
            <v>43956</v>
          </cell>
          <cell r="F101" t="str">
            <v>Abril-2020</v>
          </cell>
        </row>
        <row r="102">
          <cell r="D102" t="str">
            <v>ELSK20F</v>
          </cell>
          <cell r="E102">
            <v>43984</v>
          </cell>
          <cell r="F102" t="str">
            <v>Mayo-2020</v>
          </cell>
        </row>
        <row r="103">
          <cell r="D103" t="str">
            <v>ELSM20F</v>
          </cell>
          <cell r="E103">
            <v>44014</v>
          </cell>
          <cell r="F103" t="str">
            <v>Junio-2020</v>
          </cell>
        </row>
        <row r="104">
          <cell r="D104" t="str">
            <v>ELSN20F</v>
          </cell>
          <cell r="E104">
            <v>44047</v>
          </cell>
          <cell r="F104" t="str">
            <v>Julio-2020</v>
          </cell>
        </row>
        <row r="105">
          <cell r="D105" t="str">
            <v>ELSQ20F</v>
          </cell>
          <cell r="E105">
            <v>44076</v>
          </cell>
          <cell r="F105" t="str">
            <v>Agosto-2020</v>
          </cell>
        </row>
        <row r="106">
          <cell r="D106" t="str">
            <v>ELSU20F</v>
          </cell>
          <cell r="E106">
            <v>44106</v>
          </cell>
          <cell r="F106" t="str">
            <v>Septiembre-2020</v>
          </cell>
        </row>
        <row r="107">
          <cell r="D107" t="str">
            <v>ELSV20F</v>
          </cell>
          <cell r="E107">
            <v>44139</v>
          </cell>
          <cell r="F107" t="str">
            <v>Octubre-2020</v>
          </cell>
        </row>
        <row r="108">
          <cell r="D108" t="str">
            <v>ELSX20F</v>
          </cell>
          <cell r="E108">
            <v>44167</v>
          </cell>
          <cell r="F108" t="str">
            <v>Noviembre-2020</v>
          </cell>
        </row>
        <row r="109">
          <cell r="D109" t="str">
            <v>ELSZ20F</v>
          </cell>
          <cell r="E109">
            <v>44201</v>
          </cell>
          <cell r="F109" t="str">
            <v>Diciembre-2020</v>
          </cell>
        </row>
        <row r="110">
          <cell r="D110" t="str">
            <v>ELSF21F</v>
          </cell>
          <cell r="E110">
            <v>44229</v>
          </cell>
          <cell r="F110" t="str">
            <v>Enero-2021</v>
          </cell>
        </row>
        <row r="111">
          <cell r="D111" t="str">
            <v>ELSG21F</v>
          </cell>
          <cell r="E111">
            <v>44257</v>
          </cell>
          <cell r="F111" t="str">
            <v>Febrero-2021</v>
          </cell>
        </row>
        <row r="112">
          <cell r="D112" t="str">
            <v>ELSH21F</v>
          </cell>
          <cell r="E112">
            <v>44292</v>
          </cell>
          <cell r="F112" t="str">
            <v>Marzo-2021</v>
          </cell>
        </row>
        <row r="113">
          <cell r="D113" t="str">
            <v>ELSJ21F</v>
          </cell>
          <cell r="E113">
            <v>44320</v>
          </cell>
          <cell r="F113" t="str">
            <v>Abril-2021</v>
          </cell>
        </row>
        <row r="114">
          <cell r="D114" t="str">
            <v>ELSK21F</v>
          </cell>
          <cell r="E114">
            <v>44349</v>
          </cell>
          <cell r="F114" t="str">
            <v>Mayo-2021</v>
          </cell>
        </row>
        <row r="115">
          <cell r="D115" t="str">
            <v>ELSM21F</v>
          </cell>
          <cell r="E115">
            <v>44379</v>
          </cell>
          <cell r="F115" t="str">
            <v>Junio-2021</v>
          </cell>
        </row>
        <row r="116">
          <cell r="D116" t="str">
            <v>ELSN21F</v>
          </cell>
          <cell r="E116">
            <v>44411</v>
          </cell>
          <cell r="F116" t="str">
            <v>Julio-2021</v>
          </cell>
        </row>
        <row r="117">
          <cell r="D117" t="str">
            <v>ELSQ21F</v>
          </cell>
          <cell r="E117">
            <v>44441</v>
          </cell>
          <cell r="F117" t="str">
            <v>Agosto-2021</v>
          </cell>
        </row>
        <row r="118">
          <cell r="D118" t="str">
            <v>ELSU21F</v>
          </cell>
          <cell r="E118">
            <v>44473</v>
          </cell>
          <cell r="F118" t="str">
            <v>Septiembre-2021</v>
          </cell>
        </row>
        <row r="119">
          <cell r="D119" t="str">
            <v>ELSV21F</v>
          </cell>
          <cell r="E119">
            <v>44503</v>
          </cell>
          <cell r="F119" t="str">
            <v>Octubre-2021</v>
          </cell>
        </row>
        <row r="120">
          <cell r="D120" t="str">
            <v>ELSX21F</v>
          </cell>
          <cell r="E120">
            <v>44532</v>
          </cell>
          <cell r="F120" t="str">
            <v>Noviembre-2021</v>
          </cell>
        </row>
        <row r="121">
          <cell r="D121" t="str">
            <v>ELSZ21F</v>
          </cell>
          <cell r="E121">
            <v>44565</v>
          </cell>
          <cell r="F121" t="str">
            <v>Diciembre-2021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8BBA9-F05B-4AFE-B395-1FBE6F2F6E67}">
  <sheetPr filterMode="1"/>
  <dimension ref="A1:AO35"/>
  <sheetViews>
    <sheetView zoomScale="89" zoomScaleNormal="89" workbookViewId="0">
      <selection activeCell="AH38" sqref="AH38"/>
    </sheetView>
  </sheetViews>
  <sheetFormatPr baseColWidth="10" defaultRowHeight="15" x14ac:dyDescent="0.25"/>
  <cols>
    <col min="2" max="2" width="25" hidden="1" customWidth="1"/>
    <col min="3" max="3" width="14.85546875" bestFit="1" customWidth="1"/>
    <col min="4" max="5" width="0" hidden="1" customWidth="1"/>
    <col min="6" max="6" width="14" customWidth="1"/>
    <col min="7" max="7" width="7.28515625" hidden="1" customWidth="1"/>
    <col min="8" max="8" width="14.85546875" bestFit="1" customWidth="1"/>
    <col min="11" max="11" width="16.7109375" bestFit="1" customWidth="1"/>
    <col min="12" max="12" width="21.42578125" hidden="1" customWidth="1"/>
    <col min="13" max="13" width="13.5703125" customWidth="1"/>
    <col min="14" max="14" width="19" customWidth="1"/>
    <col min="15" max="15" width="14" bestFit="1" customWidth="1"/>
    <col min="19" max="19" width="14.85546875" bestFit="1" customWidth="1"/>
    <col min="20" max="20" width="10" bestFit="1" customWidth="1"/>
    <col min="21" max="21" width="10.5703125" bestFit="1" customWidth="1"/>
    <col min="22" max="25" width="16.42578125" hidden="1" customWidth="1"/>
    <col min="26" max="27" width="12.5703125" bestFit="1" customWidth="1"/>
    <col min="28" max="28" width="10.5703125" bestFit="1" customWidth="1"/>
    <col min="29" max="29" width="12.5703125" bestFit="1" customWidth="1"/>
    <col min="30" max="30" width="10" bestFit="1" customWidth="1"/>
    <col min="31" max="31" width="10.7109375" bestFit="1" customWidth="1"/>
    <col min="32" max="32" width="10.5703125" bestFit="1" customWidth="1"/>
    <col min="33" max="33" width="10.7109375" bestFit="1" customWidth="1"/>
    <col min="34" max="34" width="11.28515625" customWidth="1"/>
    <col min="35" max="35" width="10.5703125" bestFit="1" customWidth="1"/>
    <col min="36" max="37" width="11.140625" bestFit="1" customWidth="1"/>
    <col min="38" max="39" width="16.5703125" customWidth="1"/>
    <col min="40" max="40" width="10" bestFit="1" customWidth="1"/>
    <col min="41" max="41" width="10.5703125" bestFit="1" customWidth="1"/>
  </cols>
  <sheetData>
    <row r="1" spans="1:41" ht="105.75" thickBot="1" x14ac:dyDescent="0.3">
      <c r="A1" s="10" t="s">
        <v>22</v>
      </c>
      <c r="B1" s="10" t="s">
        <v>21</v>
      </c>
      <c r="C1" s="10" t="s">
        <v>82</v>
      </c>
      <c r="D1" s="10" t="s">
        <v>19</v>
      </c>
      <c r="E1" s="10" t="s">
        <v>18</v>
      </c>
      <c r="F1" s="10" t="s">
        <v>83</v>
      </c>
      <c r="G1" s="10" t="s">
        <v>16</v>
      </c>
      <c r="H1" s="10" t="s">
        <v>15</v>
      </c>
      <c r="I1" s="10" t="s">
        <v>14</v>
      </c>
      <c r="J1" s="11" t="s">
        <v>13</v>
      </c>
      <c r="K1" s="11" t="s">
        <v>12</v>
      </c>
      <c r="L1" s="10" t="s">
        <v>11</v>
      </c>
      <c r="M1" s="10" t="s">
        <v>10</v>
      </c>
      <c r="N1" s="10" t="s">
        <v>9</v>
      </c>
      <c r="O1" s="10" t="s">
        <v>8</v>
      </c>
      <c r="P1" s="10" t="s">
        <v>7</v>
      </c>
      <c r="Q1" s="10" t="s">
        <v>6</v>
      </c>
      <c r="S1" s="13" t="s">
        <v>45</v>
      </c>
      <c r="T1" s="14" t="s">
        <v>46</v>
      </c>
      <c r="U1" s="14" t="s">
        <v>47</v>
      </c>
      <c r="V1" s="25" t="s">
        <v>48</v>
      </c>
      <c r="W1" s="14" t="s">
        <v>49</v>
      </c>
      <c r="X1" s="14" t="s">
        <v>50</v>
      </c>
      <c r="Y1" s="14" t="s">
        <v>51</v>
      </c>
      <c r="Z1" s="25" t="s">
        <v>52</v>
      </c>
      <c r="AA1" s="15" t="s">
        <v>53</v>
      </c>
      <c r="AB1" s="25" t="s">
        <v>54</v>
      </c>
      <c r="AC1" s="15" t="s">
        <v>55</v>
      </c>
      <c r="AD1" s="25" t="s">
        <v>56</v>
      </c>
      <c r="AE1" s="14" t="s">
        <v>58</v>
      </c>
      <c r="AF1" s="38" t="s">
        <v>59</v>
      </c>
      <c r="AG1" s="15" t="s">
        <v>57</v>
      </c>
      <c r="AH1" s="34" t="s">
        <v>61</v>
      </c>
      <c r="AI1" s="35" t="s">
        <v>60</v>
      </c>
      <c r="AJ1" s="14" t="s">
        <v>62</v>
      </c>
      <c r="AK1" s="14" t="s">
        <v>63</v>
      </c>
      <c r="AL1" s="14" t="s">
        <v>62</v>
      </c>
      <c r="AM1" s="14" t="s">
        <v>63</v>
      </c>
      <c r="AN1" s="38" t="s">
        <v>64</v>
      </c>
      <c r="AO1" s="15" t="s">
        <v>65</v>
      </c>
    </row>
    <row r="2" spans="1:41" hidden="1" x14ac:dyDescent="0.25">
      <c r="A2" s="7">
        <v>43328</v>
      </c>
      <c r="B2" s="7" t="s">
        <v>23</v>
      </c>
      <c r="C2" s="7" t="s">
        <v>24</v>
      </c>
      <c r="D2" s="8" t="s">
        <v>25</v>
      </c>
      <c r="E2" s="2" t="s">
        <v>26</v>
      </c>
      <c r="F2" s="2" t="s">
        <v>27</v>
      </c>
      <c r="G2" s="7">
        <v>43588</v>
      </c>
      <c r="H2" s="12">
        <v>8</v>
      </c>
      <c r="I2" s="1">
        <v>194.5</v>
      </c>
      <c r="J2" s="3">
        <v>80000</v>
      </c>
      <c r="K2" s="6">
        <v>15560000</v>
      </c>
      <c r="L2" s="5" t="s">
        <v>1</v>
      </c>
      <c r="M2" s="2" t="s">
        <v>28</v>
      </c>
      <c r="N2" s="4">
        <v>80000</v>
      </c>
      <c r="O2" s="3">
        <v>15560000</v>
      </c>
      <c r="P2" s="2">
        <v>15560000</v>
      </c>
      <c r="Q2" s="1">
        <v>194.5</v>
      </c>
      <c r="S2" s="16" t="s">
        <v>24</v>
      </c>
      <c r="T2" s="17">
        <v>2</v>
      </c>
      <c r="U2" s="17">
        <v>1</v>
      </c>
      <c r="V2" s="16">
        <f>T2/2</f>
        <v>1</v>
      </c>
      <c r="W2" s="17">
        <f>(U2+1)/2</f>
        <v>1</v>
      </c>
      <c r="X2" s="17">
        <f>V2+1</f>
        <v>2</v>
      </c>
      <c r="Y2" s="17"/>
      <c r="Z2" s="21">
        <f>(Q2+Q3)/2</f>
        <v>194.5</v>
      </c>
      <c r="AA2" s="22">
        <f>Q5</f>
        <v>194.5</v>
      </c>
      <c r="AB2" s="21">
        <f>(ABS(Q2-Z2)+ABS(Q3-Z2))/T2</f>
        <v>0</v>
      </c>
      <c r="AC2" s="22">
        <f>(Q5-AA2)/U2</f>
        <v>0</v>
      </c>
      <c r="AD2" s="29">
        <f>AB2+Z2</f>
        <v>194.5</v>
      </c>
      <c r="AE2" s="31">
        <f>Z2-AB2</f>
        <v>194.5</v>
      </c>
      <c r="AF2" s="39">
        <f>AC2+AA2</f>
        <v>194.5</v>
      </c>
      <c r="AG2" s="30">
        <f>AA2-AC2</f>
        <v>194.5</v>
      </c>
      <c r="AH2" s="89">
        <v>43313</v>
      </c>
      <c r="AI2" s="17" t="s">
        <v>28</v>
      </c>
      <c r="AJ2" s="26">
        <f>Q2</f>
        <v>194.5</v>
      </c>
      <c r="AK2" s="17"/>
      <c r="AL2" s="26" t="str">
        <f>S2</f>
        <v>Agosto-2018</v>
      </c>
      <c r="AM2" s="17"/>
      <c r="AN2" s="36">
        <f>IF(AJ2&lt;AE2,AE2,IF(AJ2&gt;AD2,AD2,AJ2))</f>
        <v>194.5</v>
      </c>
      <c r="AO2" s="22"/>
    </row>
    <row r="3" spans="1:41" hidden="1" x14ac:dyDescent="0.25">
      <c r="A3" s="7">
        <v>43328</v>
      </c>
      <c r="B3" s="7" t="s">
        <v>23</v>
      </c>
      <c r="C3" s="7" t="s">
        <v>24</v>
      </c>
      <c r="D3" s="8" t="s">
        <v>0</v>
      </c>
      <c r="E3" s="2" t="s">
        <v>29</v>
      </c>
      <c r="F3" s="2" t="s">
        <v>27</v>
      </c>
      <c r="G3" s="7">
        <v>43588</v>
      </c>
      <c r="H3" s="9">
        <v>1</v>
      </c>
      <c r="I3" s="1">
        <v>194.5</v>
      </c>
      <c r="J3" s="3">
        <v>360000</v>
      </c>
      <c r="K3" s="6">
        <v>70020000</v>
      </c>
      <c r="L3" s="5" t="s">
        <v>1</v>
      </c>
      <c r="M3" s="2" t="s">
        <v>2</v>
      </c>
      <c r="N3" s="4">
        <v>360000</v>
      </c>
      <c r="O3" s="3">
        <v>70020000</v>
      </c>
      <c r="P3" s="2">
        <v>70020000</v>
      </c>
      <c r="Q3" s="1">
        <v>194.5</v>
      </c>
      <c r="S3" s="16" t="s">
        <v>31</v>
      </c>
      <c r="T3" s="17">
        <v>3</v>
      </c>
      <c r="U3" s="17">
        <v>2</v>
      </c>
      <c r="V3" s="16">
        <f>(T3+1)/2</f>
        <v>2</v>
      </c>
      <c r="W3" s="17">
        <f>U3/2</f>
        <v>1</v>
      </c>
      <c r="X3" s="17"/>
      <c r="Y3" s="17">
        <f>W3+1</f>
        <v>2</v>
      </c>
      <c r="Z3" s="21">
        <f>Q3</f>
        <v>194.5</v>
      </c>
      <c r="AA3" s="22">
        <f>(Q5+Q9)/2</f>
        <v>196.25</v>
      </c>
      <c r="AB3" s="21">
        <f>(ABS(Q2-Z3)+ABS(Q3-Z3)+ABS(Q7-Z3))/T3</f>
        <v>1.1666666666666667</v>
      </c>
      <c r="AC3" s="22">
        <f>(ABS(Q5-AA3)+ABS(Q9-AA3))/U3</f>
        <v>1.75</v>
      </c>
      <c r="AD3" s="21">
        <f t="shared" ref="AD3:AD5" si="0">AB3+Z3</f>
        <v>195.66666666666666</v>
      </c>
      <c r="AE3" s="26">
        <f t="shared" ref="AE3:AE5" si="1">Z3-AB3</f>
        <v>193.33333333333334</v>
      </c>
      <c r="AF3" s="36">
        <f t="shared" ref="AF3:AF7" si="2">AC3+AA3</f>
        <v>198</v>
      </c>
      <c r="AG3" s="22">
        <f>AA3-AC3</f>
        <v>194.5</v>
      </c>
      <c r="AH3" s="90"/>
      <c r="AI3" s="17" t="s">
        <v>2</v>
      </c>
      <c r="AJ3" s="26">
        <f>Q3</f>
        <v>194.5</v>
      </c>
      <c r="AK3" s="17"/>
      <c r="AL3" s="26" t="str">
        <f>S3</f>
        <v>Octubre-2018</v>
      </c>
      <c r="AM3" s="17"/>
      <c r="AN3" s="36">
        <f>IF(AJ3&lt;AE2,AE2,IF(AJ3&gt;AD2,AD2,AJ3))</f>
        <v>194.5</v>
      </c>
      <c r="AO3" s="22"/>
    </row>
    <row r="4" spans="1:41" hidden="1" x14ac:dyDescent="0.25">
      <c r="A4" s="7">
        <v>43328</v>
      </c>
      <c r="B4" s="7" t="s">
        <v>37</v>
      </c>
      <c r="C4" s="7" t="s">
        <v>24</v>
      </c>
      <c r="D4" s="8" t="s">
        <v>0</v>
      </c>
      <c r="E4" s="2" t="s">
        <v>38</v>
      </c>
      <c r="F4" s="2" t="s">
        <v>39</v>
      </c>
      <c r="G4" s="7">
        <v>43621</v>
      </c>
      <c r="H4" s="9">
        <v>1</v>
      </c>
      <c r="I4" s="1">
        <v>194.5</v>
      </c>
      <c r="J4" s="3">
        <v>360000</v>
      </c>
      <c r="K4" s="6">
        <v>70020000</v>
      </c>
      <c r="L4" s="5" t="s">
        <v>1</v>
      </c>
      <c r="M4" s="2" t="s">
        <v>32</v>
      </c>
      <c r="N4" s="4">
        <v>360000</v>
      </c>
      <c r="O4" s="3">
        <v>70020000</v>
      </c>
      <c r="P4" s="2">
        <v>70020000</v>
      </c>
      <c r="Q4" s="1">
        <v>194.5</v>
      </c>
      <c r="S4" s="16" t="s">
        <v>36</v>
      </c>
      <c r="T4" s="17">
        <v>5</v>
      </c>
      <c r="U4" s="17"/>
      <c r="V4" s="16">
        <f t="shared" ref="V4:V5" si="3">(T4+1)/2</f>
        <v>3</v>
      </c>
      <c r="W4" s="17"/>
      <c r="X4" s="17"/>
      <c r="Y4" s="17"/>
      <c r="Z4" s="21">
        <f>Q7</f>
        <v>198</v>
      </c>
      <c r="AA4" s="22"/>
      <c r="AB4" s="21">
        <f>(ABS(Q10-Z4)+ABS(Q11-Z4)+ABS(Q7-Z4)+ABS(Q3-Z4)+ABS(Q2-Z4))/T4</f>
        <v>5.4</v>
      </c>
      <c r="AC4" s="22"/>
      <c r="AD4" s="21">
        <f t="shared" si="0"/>
        <v>203.4</v>
      </c>
      <c r="AE4" s="26">
        <f t="shared" si="1"/>
        <v>192.6</v>
      </c>
      <c r="AF4" s="36"/>
      <c r="AG4" s="22"/>
      <c r="AH4" s="90"/>
      <c r="AI4" s="17" t="s">
        <v>32</v>
      </c>
      <c r="AJ4" s="17"/>
      <c r="AK4" s="26">
        <f>Q5</f>
        <v>194.5</v>
      </c>
      <c r="AL4" s="17"/>
      <c r="AM4" s="26" t="str">
        <f>S5</f>
        <v>Marzo-2019</v>
      </c>
      <c r="AN4" s="36"/>
      <c r="AO4" s="22">
        <f>IF(AK4&lt;AG2,AG2,IF(AK4&gt;AF2,AF2,AK4))</f>
        <v>194.5</v>
      </c>
    </row>
    <row r="5" spans="1:41" hidden="1" x14ac:dyDescent="0.25">
      <c r="A5" s="7">
        <v>43328</v>
      </c>
      <c r="B5" s="7" t="s">
        <v>37</v>
      </c>
      <c r="C5" s="7" t="s">
        <v>24</v>
      </c>
      <c r="D5" s="8" t="s">
        <v>25</v>
      </c>
      <c r="E5" s="2" t="s">
        <v>40</v>
      </c>
      <c r="F5" s="2" t="s">
        <v>39</v>
      </c>
      <c r="G5" s="7">
        <v>43621</v>
      </c>
      <c r="H5" s="12">
        <v>8</v>
      </c>
      <c r="I5" s="1">
        <v>194.5</v>
      </c>
      <c r="J5" s="3">
        <v>80000</v>
      </c>
      <c r="K5" s="6">
        <v>15560000</v>
      </c>
      <c r="L5" s="5" t="s">
        <v>1</v>
      </c>
      <c r="M5" s="2" t="s">
        <v>32</v>
      </c>
      <c r="N5" s="4">
        <v>440000</v>
      </c>
      <c r="O5" s="3">
        <v>15560000</v>
      </c>
      <c r="P5" s="2">
        <v>85580000</v>
      </c>
      <c r="Q5" s="1">
        <v>194.5</v>
      </c>
      <c r="S5" s="16" t="s">
        <v>34</v>
      </c>
      <c r="T5" s="17">
        <v>5</v>
      </c>
      <c r="U5" s="17">
        <v>4</v>
      </c>
      <c r="V5" s="16">
        <f t="shared" si="3"/>
        <v>3</v>
      </c>
      <c r="W5" s="17">
        <f>U5/2</f>
        <v>2</v>
      </c>
      <c r="X5" s="17"/>
      <c r="Y5" s="17">
        <f>W5+1</f>
        <v>3</v>
      </c>
      <c r="Z5" s="21">
        <f>Q14</f>
        <v>201.37967914438502</v>
      </c>
      <c r="AA5" s="22">
        <f>(Q9+Q12)/2</f>
        <v>199</v>
      </c>
      <c r="AB5" s="21">
        <f>(ABS(Q2-Z5)+ABS(Q3-Z5)+ABS(Q10-Z5)+ABS(Q14-Z5)+ABS(Q16-Z5))/T5</f>
        <v>6.1854545454545473</v>
      </c>
      <c r="AC5" s="22">
        <f>(ABS(Q5-AA5)+ABS(Q9-AA5)+ABS(Q12-AA5)+ABS(Q15-AA5))/U5</f>
        <v>2.625</v>
      </c>
      <c r="AD5" s="21">
        <f t="shared" si="0"/>
        <v>207.56513368983957</v>
      </c>
      <c r="AE5" s="26">
        <f t="shared" si="1"/>
        <v>195.19422459893048</v>
      </c>
      <c r="AF5" s="36">
        <f t="shared" si="2"/>
        <v>201.625</v>
      </c>
      <c r="AG5" s="22">
        <f t="shared" ref="AG5:AG7" si="4">AA5-AC5</f>
        <v>196.375</v>
      </c>
      <c r="AH5" s="89">
        <v>43374</v>
      </c>
      <c r="AI5" s="17" t="s">
        <v>32</v>
      </c>
      <c r="AJ5" s="26">
        <f>Q7</f>
        <v>198</v>
      </c>
      <c r="AK5" s="17"/>
      <c r="AL5" s="26" t="str">
        <f>S7</f>
        <v>Mayo-2019</v>
      </c>
      <c r="AM5" s="17"/>
      <c r="AN5" s="36">
        <f>IF(AJ5&lt;AE3,AE3,IF(AJ5&gt;AD3,AD3,AJ5))</f>
        <v>195.66666666666666</v>
      </c>
      <c r="AO5" s="22"/>
    </row>
    <row r="6" spans="1:41" x14ac:dyDescent="0.25">
      <c r="A6" s="7">
        <v>43404</v>
      </c>
      <c r="B6" s="7" t="s">
        <v>30</v>
      </c>
      <c r="C6" s="7" t="s">
        <v>31</v>
      </c>
      <c r="D6" s="8" t="s">
        <v>0</v>
      </c>
      <c r="E6" s="2" t="s">
        <v>29</v>
      </c>
      <c r="F6" s="2" t="s">
        <v>27</v>
      </c>
      <c r="G6" s="7">
        <v>43588</v>
      </c>
      <c r="H6" s="9">
        <v>4</v>
      </c>
      <c r="I6" s="1">
        <v>198</v>
      </c>
      <c r="J6" s="3">
        <v>1440000</v>
      </c>
      <c r="K6" s="6">
        <v>285120000</v>
      </c>
      <c r="L6" s="5" t="s">
        <v>1</v>
      </c>
      <c r="M6" s="2" t="s">
        <v>32</v>
      </c>
      <c r="N6" s="4">
        <v>1440000</v>
      </c>
      <c r="O6" s="3">
        <v>285120000</v>
      </c>
      <c r="P6" s="2">
        <v>285120000</v>
      </c>
      <c r="Q6" s="1">
        <v>198</v>
      </c>
      <c r="S6" s="16" t="s">
        <v>27</v>
      </c>
      <c r="T6" s="17"/>
      <c r="U6" s="17">
        <v>4</v>
      </c>
      <c r="V6" s="16"/>
      <c r="W6" s="17">
        <f>U6/2</f>
        <v>2</v>
      </c>
      <c r="X6" s="17"/>
      <c r="Y6" s="17">
        <f>W6+1</f>
        <v>3</v>
      </c>
      <c r="Z6" s="21"/>
      <c r="AA6" s="22">
        <f>(Q12+Q17)/2</f>
        <v>199.29032258064518</v>
      </c>
      <c r="AB6" s="21"/>
      <c r="AC6" s="22">
        <f>(ABS(Q5-AA6)+ABS(Q17-AA6)+ABS(Q12-AA6)+ABS(Q15-AA6))/U6</f>
        <v>2.4798387096774164</v>
      </c>
      <c r="AD6" s="21"/>
      <c r="AE6" s="26"/>
      <c r="AF6" s="36">
        <f t="shared" si="2"/>
        <v>201.77016129032259</v>
      </c>
      <c r="AG6" s="22">
        <f t="shared" si="4"/>
        <v>196.81048387096777</v>
      </c>
      <c r="AH6" s="90"/>
      <c r="AI6" s="17" t="s">
        <v>5</v>
      </c>
      <c r="AJ6" s="26"/>
      <c r="AK6" s="26">
        <f>Q9</f>
        <v>198</v>
      </c>
      <c r="AL6" s="26"/>
      <c r="AM6" s="26">
        <f>S9</f>
        <v>0</v>
      </c>
      <c r="AN6" s="36"/>
      <c r="AO6" s="22">
        <f>IF(AK6&lt;AG3,AG3,IF(AK6&gt;AF3,AF3,AK6))</f>
        <v>198</v>
      </c>
    </row>
    <row r="7" spans="1:41" ht="15.75" thickBot="1" x14ac:dyDescent="0.3">
      <c r="A7" s="7">
        <v>43404</v>
      </c>
      <c r="B7" s="7" t="s">
        <v>30</v>
      </c>
      <c r="C7" s="7" t="s">
        <v>31</v>
      </c>
      <c r="D7" s="8" t="s">
        <v>25</v>
      </c>
      <c r="E7" s="2" t="s">
        <v>26</v>
      </c>
      <c r="F7" s="2" t="s">
        <v>27</v>
      </c>
      <c r="G7" s="7">
        <v>43588</v>
      </c>
      <c r="H7" s="12">
        <v>6</v>
      </c>
      <c r="I7" s="1">
        <v>198</v>
      </c>
      <c r="J7" s="3">
        <v>60000</v>
      </c>
      <c r="K7" s="6">
        <v>11880000</v>
      </c>
      <c r="L7" s="5" t="s">
        <v>1</v>
      </c>
      <c r="M7" s="2" t="s">
        <v>32</v>
      </c>
      <c r="N7" s="4">
        <v>1500000</v>
      </c>
      <c r="O7" s="3">
        <v>11880000</v>
      </c>
      <c r="P7" s="2">
        <v>297000000</v>
      </c>
      <c r="Q7" s="1">
        <v>198</v>
      </c>
      <c r="S7" s="18" t="s">
        <v>39</v>
      </c>
      <c r="T7" s="19"/>
      <c r="U7" s="19">
        <v>5</v>
      </c>
      <c r="V7" s="18"/>
      <c r="W7" s="19">
        <f t="shared" ref="W7" si="5">(U7+1)/2</f>
        <v>3</v>
      </c>
      <c r="X7" s="19"/>
      <c r="Y7" s="19"/>
      <c r="Z7" s="23"/>
      <c r="AA7" s="24">
        <f>Q12</f>
        <v>200</v>
      </c>
      <c r="AB7" s="23"/>
      <c r="AC7" s="24">
        <f>(ABS(Q5-AA7)+ABS(Q18-AA7)+ABS(Q12-AA7)+ABS(Q15-AA7)+ABS(Q17-AA7))/U7</f>
        <v>2.183870967741933</v>
      </c>
      <c r="AD7" s="23"/>
      <c r="AE7" s="27"/>
      <c r="AF7" s="37">
        <f t="shared" si="2"/>
        <v>202.18387096774194</v>
      </c>
      <c r="AG7" s="24">
        <f t="shared" si="4"/>
        <v>197.81612903225806</v>
      </c>
      <c r="AH7" s="89">
        <v>43435</v>
      </c>
      <c r="AI7" s="17" t="s">
        <v>4</v>
      </c>
      <c r="AJ7" s="26">
        <f>Q10</f>
        <v>206</v>
      </c>
      <c r="AK7" s="17"/>
      <c r="AL7" s="26">
        <f>S10</f>
        <v>0</v>
      </c>
      <c r="AM7" s="17"/>
      <c r="AN7" s="36">
        <f>IF(AJ7&lt;AE4,AE4,IF(AJ7&gt;AD4,AD4,AJ7))</f>
        <v>203.4</v>
      </c>
      <c r="AO7" s="22"/>
    </row>
    <row r="8" spans="1:41" hidden="1" x14ac:dyDescent="0.25">
      <c r="A8" s="7">
        <v>43404</v>
      </c>
      <c r="B8" s="7" t="s">
        <v>41</v>
      </c>
      <c r="C8" s="7" t="s">
        <v>31</v>
      </c>
      <c r="D8" s="8" t="s">
        <v>0</v>
      </c>
      <c r="E8" s="2" t="s">
        <v>38</v>
      </c>
      <c r="F8" s="2" t="s">
        <v>39</v>
      </c>
      <c r="G8" s="7">
        <v>43621</v>
      </c>
      <c r="H8" s="9">
        <v>4</v>
      </c>
      <c r="I8" s="1">
        <v>198</v>
      </c>
      <c r="J8" s="3">
        <v>1440000</v>
      </c>
      <c r="K8" s="6">
        <v>285120000</v>
      </c>
      <c r="L8" s="5" t="s">
        <v>1</v>
      </c>
      <c r="M8" s="2" t="s">
        <v>5</v>
      </c>
      <c r="N8" s="4">
        <v>1440000</v>
      </c>
      <c r="O8" s="3">
        <v>285120000</v>
      </c>
      <c r="P8" s="2">
        <v>285120000</v>
      </c>
      <c r="Q8" s="1">
        <v>198</v>
      </c>
      <c r="AH8" s="90"/>
      <c r="AI8" s="17" t="s">
        <v>5</v>
      </c>
      <c r="AJ8" s="26">
        <f>Q11</f>
        <v>210</v>
      </c>
      <c r="AK8" s="17"/>
      <c r="AL8" s="26">
        <f>S11</f>
        <v>0</v>
      </c>
      <c r="AM8" s="17"/>
      <c r="AN8" s="36">
        <f>IF(AJ8&lt;AE4,AE4,IF(AJ8&gt;AD4,AD4,AJ8))</f>
        <v>203.4</v>
      </c>
      <c r="AO8" s="22"/>
    </row>
    <row r="9" spans="1:41" hidden="1" x14ac:dyDescent="0.25">
      <c r="A9" s="7">
        <v>43404</v>
      </c>
      <c r="B9" s="7" t="s">
        <v>41</v>
      </c>
      <c r="C9" s="7" t="s">
        <v>31</v>
      </c>
      <c r="D9" s="8" t="s">
        <v>25</v>
      </c>
      <c r="E9" s="2" t="s">
        <v>40</v>
      </c>
      <c r="F9" s="2" t="s">
        <v>39</v>
      </c>
      <c r="G9" s="7">
        <v>43621</v>
      </c>
      <c r="H9" s="12">
        <v>6</v>
      </c>
      <c r="I9" s="1">
        <v>198</v>
      </c>
      <c r="J9" s="3">
        <v>60000</v>
      </c>
      <c r="K9" s="6">
        <v>11880000</v>
      </c>
      <c r="L9" s="5" t="s">
        <v>1</v>
      </c>
      <c r="M9" s="2" t="s">
        <v>5</v>
      </c>
      <c r="N9" s="4">
        <v>1500000</v>
      </c>
      <c r="O9" s="3">
        <v>11880000</v>
      </c>
      <c r="P9" s="2">
        <v>297000000</v>
      </c>
      <c r="Q9" s="1">
        <v>198</v>
      </c>
      <c r="AH9" s="89">
        <v>43525</v>
      </c>
      <c r="AI9" s="17" t="s">
        <v>2</v>
      </c>
      <c r="AJ9" s="17"/>
      <c r="AK9" s="26">
        <f>Q12</f>
        <v>200</v>
      </c>
      <c r="AL9" s="17"/>
      <c r="AM9" s="26">
        <f>S12</f>
        <v>0</v>
      </c>
      <c r="AN9" s="36"/>
      <c r="AO9" s="22">
        <f>IF(AK9&lt;AG5,AG5,IF(AK9&gt;AF5,AF5,AK9))</f>
        <v>200</v>
      </c>
    </row>
    <row r="10" spans="1:41" hidden="1" x14ac:dyDescent="0.25">
      <c r="A10" s="7">
        <v>43448</v>
      </c>
      <c r="B10" s="7" t="s">
        <v>35</v>
      </c>
      <c r="C10" s="7" t="s">
        <v>36</v>
      </c>
      <c r="D10" s="8" t="s">
        <v>0</v>
      </c>
      <c r="E10" s="2" t="s">
        <v>29</v>
      </c>
      <c r="F10" s="2" t="s">
        <v>27</v>
      </c>
      <c r="G10" s="7">
        <v>43588</v>
      </c>
      <c r="H10" s="2">
        <v>6</v>
      </c>
      <c r="I10" s="1">
        <v>206</v>
      </c>
      <c r="J10" s="3">
        <v>2160000</v>
      </c>
      <c r="K10" s="6">
        <v>444960000</v>
      </c>
      <c r="L10" s="5" t="s">
        <v>1</v>
      </c>
      <c r="M10" s="2" t="s">
        <v>4</v>
      </c>
      <c r="N10" s="4">
        <v>2160000</v>
      </c>
      <c r="O10" s="3">
        <v>444960000</v>
      </c>
      <c r="P10" s="2">
        <v>444960000</v>
      </c>
      <c r="Q10" s="1">
        <v>206</v>
      </c>
      <c r="AH10" s="90"/>
      <c r="AI10" s="17" t="s">
        <v>32</v>
      </c>
      <c r="AJ10" s="26">
        <f>Q14</f>
        <v>201.37967914438502</v>
      </c>
      <c r="AK10" s="17"/>
      <c r="AL10" s="26">
        <f>S14</f>
        <v>0</v>
      </c>
      <c r="AM10" s="17"/>
      <c r="AN10" s="36">
        <f>IF(AJ10&lt;AE5,AE5,IF(AJ10&gt;AD5,AD5,AJ10))</f>
        <v>201.37967914438502</v>
      </c>
      <c r="AO10" s="22"/>
    </row>
    <row r="11" spans="1:41" hidden="1" x14ac:dyDescent="0.25">
      <c r="A11" s="7">
        <v>43461</v>
      </c>
      <c r="B11" s="7" t="s">
        <v>35</v>
      </c>
      <c r="C11" s="7" t="s">
        <v>36</v>
      </c>
      <c r="D11" s="8" t="s">
        <v>25</v>
      </c>
      <c r="E11" s="2" t="s">
        <v>26</v>
      </c>
      <c r="F11" s="2" t="s">
        <v>27</v>
      </c>
      <c r="G11" s="7">
        <v>43588</v>
      </c>
      <c r="H11" s="12">
        <v>19</v>
      </c>
      <c r="I11" s="1">
        <v>210</v>
      </c>
      <c r="J11" s="3">
        <v>190000</v>
      </c>
      <c r="K11" s="6">
        <v>39900000</v>
      </c>
      <c r="L11" s="5" t="s">
        <v>1</v>
      </c>
      <c r="M11" s="2" t="s">
        <v>5</v>
      </c>
      <c r="N11" s="4">
        <v>190000</v>
      </c>
      <c r="O11" s="3">
        <v>39900000</v>
      </c>
      <c r="P11" s="2">
        <v>39900000</v>
      </c>
      <c r="Q11" s="1">
        <v>210</v>
      </c>
      <c r="AH11" s="90"/>
      <c r="AI11" s="17" t="s">
        <v>5</v>
      </c>
      <c r="AJ11" s="26">
        <f>Q16</f>
        <v>213.92727272727274</v>
      </c>
      <c r="AK11" s="17"/>
      <c r="AL11" s="26">
        <f>S16</f>
        <v>0</v>
      </c>
      <c r="AM11" s="17"/>
      <c r="AN11" s="36">
        <f>IF(AJ11&lt;AE5,AE5,IF(AJ11&gt;AD5,AD5,AJ11))</f>
        <v>207.56513368983957</v>
      </c>
      <c r="AO11" s="22"/>
    </row>
    <row r="12" spans="1:41" hidden="1" x14ac:dyDescent="0.25">
      <c r="A12" s="7">
        <v>43528</v>
      </c>
      <c r="B12" s="7" t="s">
        <v>43</v>
      </c>
      <c r="C12" s="7" t="s">
        <v>34</v>
      </c>
      <c r="D12" s="8" t="s">
        <v>0</v>
      </c>
      <c r="E12" s="2" t="s">
        <v>38</v>
      </c>
      <c r="F12" s="2" t="s">
        <v>39</v>
      </c>
      <c r="G12" s="7">
        <v>43621</v>
      </c>
      <c r="H12" s="2">
        <v>1</v>
      </c>
      <c r="I12" s="1">
        <v>200</v>
      </c>
      <c r="J12" s="3">
        <v>360000</v>
      </c>
      <c r="K12" s="6">
        <v>72000000</v>
      </c>
      <c r="L12" s="5" t="s">
        <v>1</v>
      </c>
      <c r="M12" s="2" t="s">
        <v>2</v>
      </c>
      <c r="N12" s="4">
        <v>360000</v>
      </c>
      <c r="O12" s="3">
        <v>72000000</v>
      </c>
      <c r="P12" s="2">
        <v>72000000</v>
      </c>
      <c r="Q12" s="1">
        <v>200</v>
      </c>
      <c r="AH12" s="90"/>
      <c r="AI12" s="17" t="s">
        <v>4</v>
      </c>
      <c r="AJ12" s="17"/>
      <c r="AK12" s="26">
        <f>Q15</f>
        <v>203</v>
      </c>
      <c r="AL12" s="17"/>
      <c r="AM12" s="26">
        <f>S15</f>
        <v>0</v>
      </c>
      <c r="AN12" s="36"/>
      <c r="AO12" s="22">
        <f>IF(AK12&lt;AG5,AG5,IF(AK12&gt;AF5,AF5,AK12))</f>
        <v>201.625</v>
      </c>
    </row>
    <row r="13" spans="1:41" x14ac:dyDescent="0.25">
      <c r="A13" s="7">
        <v>43532</v>
      </c>
      <c r="B13" s="7" t="s">
        <v>33</v>
      </c>
      <c r="C13" s="7" t="s">
        <v>34</v>
      </c>
      <c r="D13" s="8" t="s">
        <v>0</v>
      </c>
      <c r="E13" s="2" t="s">
        <v>29</v>
      </c>
      <c r="F13" s="2" t="s">
        <v>27</v>
      </c>
      <c r="G13" s="7">
        <v>43588</v>
      </c>
      <c r="H13" s="2">
        <v>1</v>
      </c>
      <c r="I13" s="1">
        <v>215</v>
      </c>
      <c r="J13" s="3">
        <v>360000</v>
      </c>
      <c r="K13" s="6">
        <v>77400000</v>
      </c>
      <c r="L13" s="5" t="s">
        <v>1</v>
      </c>
      <c r="M13" s="2" t="s">
        <v>32</v>
      </c>
      <c r="N13" s="4">
        <v>1860000</v>
      </c>
      <c r="O13" s="3">
        <v>77400000</v>
      </c>
      <c r="P13" s="2">
        <v>374400000</v>
      </c>
      <c r="Q13" s="1">
        <v>201.29032258064515</v>
      </c>
      <c r="R13" s="20"/>
      <c r="AH13" s="32">
        <v>43556</v>
      </c>
      <c r="AI13" s="17" t="s">
        <v>5</v>
      </c>
      <c r="AJ13" s="17"/>
      <c r="AK13" s="26">
        <f>Q17</f>
        <v>198.58064516129033</v>
      </c>
      <c r="AL13" s="17"/>
      <c r="AM13" s="26">
        <f>S17</f>
        <v>0</v>
      </c>
      <c r="AN13" s="36"/>
      <c r="AO13" s="22">
        <f>IF(AK13&lt;AG6,AG6,IF(AK13&gt;AF6,AF6,AK13))</f>
        <v>198.58064516129033</v>
      </c>
    </row>
    <row r="14" spans="1:41" ht="15.75" thickBot="1" x14ac:dyDescent="0.3">
      <c r="A14" s="7">
        <v>43532</v>
      </c>
      <c r="B14" s="7" t="s">
        <v>33</v>
      </c>
      <c r="C14" s="7" t="s">
        <v>34</v>
      </c>
      <c r="D14" s="8" t="s">
        <v>25</v>
      </c>
      <c r="E14" s="2" t="s">
        <v>26</v>
      </c>
      <c r="F14" s="2" t="s">
        <v>27</v>
      </c>
      <c r="G14" s="7">
        <v>43588</v>
      </c>
      <c r="H14" s="12">
        <v>1</v>
      </c>
      <c r="I14" s="1">
        <v>218</v>
      </c>
      <c r="J14" s="3">
        <v>10000</v>
      </c>
      <c r="K14" s="6">
        <v>2180000</v>
      </c>
      <c r="L14" s="5" t="s">
        <v>1</v>
      </c>
      <c r="M14" s="2" t="s">
        <v>32</v>
      </c>
      <c r="N14" s="4">
        <v>1870000</v>
      </c>
      <c r="O14" s="3">
        <v>2180000</v>
      </c>
      <c r="P14" s="2">
        <v>376580000</v>
      </c>
      <c r="Q14" s="1">
        <v>201.37967914438502</v>
      </c>
      <c r="AH14" s="33">
        <v>43586</v>
      </c>
      <c r="AI14" s="19" t="s">
        <v>3</v>
      </c>
      <c r="AJ14" s="19"/>
      <c r="AK14" s="27">
        <f>Q18</f>
        <v>201</v>
      </c>
      <c r="AL14" s="19"/>
      <c r="AM14" s="27">
        <f>S18</f>
        <v>0</v>
      </c>
      <c r="AN14" s="37"/>
      <c r="AO14" s="24">
        <f>IF(AK14&lt;AG7,AG7,IF(AK14&gt;AF7,AF7,AK14))</f>
        <v>201</v>
      </c>
    </row>
    <row r="15" spans="1:41" hidden="1" x14ac:dyDescent="0.25">
      <c r="A15" s="7">
        <v>43532</v>
      </c>
      <c r="B15" s="7" t="s">
        <v>43</v>
      </c>
      <c r="C15" s="7" t="s">
        <v>34</v>
      </c>
      <c r="D15" s="8" t="s">
        <v>25</v>
      </c>
      <c r="E15" s="2" t="s">
        <v>40</v>
      </c>
      <c r="F15" s="2" t="s">
        <v>39</v>
      </c>
      <c r="G15" s="7">
        <v>43621</v>
      </c>
      <c r="H15" s="12">
        <v>1</v>
      </c>
      <c r="I15" s="1">
        <v>203</v>
      </c>
      <c r="J15" s="3">
        <v>10000</v>
      </c>
      <c r="K15" s="6">
        <v>2030000</v>
      </c>
      <c r="L15" s="5" t="s">
        <v>1</v>
      </c>
      <c r="M15" s="2" t="s">
        <v>4</v>
      </c>
      <c r="N15" s="4">
        <v>10000</v>
      </c>
      <c r="O15" s="3">
        <v>2030000</v>
      </c>
      <c r="P15" s="2">
        <v>2030000</v>
      </c>
      <c r="Q15" s="1">
        <v>203</v>
      </c>
    </row>
    <row r="16" spans="1:41" hidden="1" x14ac:dyDescent="0.25">
      <c r="A16" s="7">
        <v>43542</v>
      </c>
      <c r="B16" s="7" t="s">
        <v>33</v>
      </c>
      <c r="C16" s="7" t="s">
        <v>34</v>
      </c>
      <c r="D16" s="8" t="s">
        <v>0</v>
      </c>
      <c r="E16" s="2" t="s">
        <v>29</v>
      </c>
      <c r="F16" s="2" t="s">
        <v>27</v>
      </c>
      <c r="G16" s="7">
        <v>43588</v>
      </c>
      <c r="H16" s="2">
        <v>1</v>
      </c>
      <c r="I16" s="1">
        <v>216</v>
      </c>
      <c r="J16" s="3">
        <v>360000</v>
      </c>
      <c r="K16" s="6">
        <v>77760000</v>
      </c>
      <c r="L16" s="5" t="s">
        <v>1</v>
      </c>
      <c r="M16" s="2" t="s">
        <v>5</v>
      </c>
      <c r="N16" s="4">
        <v>550000</v>
      </c>
      <c r="O16" s="3">
        <v>77760000</v>
      </c>
      <c r="P16" s="2">
        <v>117660000</v>
      </c>
      <c r="Q16" s="1">
        <v>213.92727272727274</v>
      </c>
    </row>
    <row r="17" spans="1:17" hidden="1" x14ac:dyDescent="0.25">
      <c r="A17" s="7">
        <v>43577</v>
      </c>
      <c r="B17" s="7" t="s">
        <v>42</v>
      </c>
      <c r="C17" s="7" t="s">
        <v>27</v>
      </c>
      <c r="D17" s="8" t="s">
        <v>0</v>
      </c>
      <c r="E17" s="2" t="s">
        <v>38</v>
      </c>
      <c r="F17" s="2" t="s">
        <v>39</v>
      </c>
      <c r="G17" s="7">
        <v>43621</v>
      </c>
      <c r="H17" s="2">
        <v>1</v>
      </c>
      <c r="I17" s="1">
        <v>201</v>
      </c>
      <c r="J17" s="3">
        <v>360000</v>
      </c>
      <c r="K17" s="6">
        <v>72360000</v>
      </c>
      <c r="L17" s="5" t="s">
        <v>1</v>
      </c>
      <c r="M17" s="2" t="s">
        <v>5</v>
      </c>
      <c r="N17" s="4">
        <v>1860000</v>
      </c>
      <c r="O17" s="3">
        <v>72360000</v>
      </c>
      <c r="P17" s="2">
        <v>369360000</v>
      </c>
      <c r="Q17" s="1">
        <v>198.58064516129033</v>
      </c>
    </row>
    <row r="18" spans="1:17" hidden="1" x14ac:dyDescent="0.25">
      <c r="A18" s="7">
        <v>43591</v>
      </c>
      <c r="B18" s="7" t="s">
        <v>44</v>
      </c>
      <c r="C18" s="7" t="s">
        <v>39</v>
      </c>
      <c r="D18" s="8" t="s">
        <v>0</v>
      </c>
      <c r="E18" s="2" t="s">
        <v>38</v>
      </c>
      <c r="F18" s="2" t="s">
        <v>39</v>
      </c>
      <c r="G18" s="7">
        <v>43621</v>
      </c>
      <c r="H18" s="2">
        <v>1</v>
      </c>
      <c r="I18" s="1">
        <v>201</v>
      </c>
      <c r="J18" s="3">
        <v>360000</v>
      </c>
      <c r="K18" s="6">
        <v>72360000</v>
      </c>
      <c r="L18" s="5" t="s">
        <v>1</v>
      </c>
      <c r="M18" s="2" t="s">
        <v>3</v>
      </c>
      <c r="N18" s="4">
        <v>360000</v>
      </c>
      <c r="O18" s="3">
        <v>72360000</v>
      </c>
      <c r="P18" s="2">
        <v>72360000</v>
      </c>
      <c r="Q18" s="1">
        <v>201</v>
      </c>
    </row>
    <row r="19" spans="1:17" s="17" customFormat="1" hidden="1" x14ac:dyDescent="0.25">
      <c r="N19" s="28"/>
      <c r="O19" s="28"/>
      <c r="P19" s="28"/>
      <c r="Q19" s="28"/>
    </row>
    <row r="20" spans="1:17" s="17" customFormat="1" hidden="1" x14ac:dyDescent="0.25">
      <c r="N20" s="28"/>
      <c r="O20" s="28"/>
      <c r="P20" s="28"/>
      <c r="Q20" s="28"/>
    </row>
    <row r="21" spans="1:17" s="17" customFormat="1" hidden="1" x14ac:dyDescent="0.25">
      <c r="N21" s="28"/>
      <c r="O21" s="28"/>
      <c r="P21" s="28"/>
      <c r="Q21" s="28"/>
    </row>
    <row r="22" spans="1:17" s="17" customFormat="1" hidden="1" x14ac:dyDescent="0.25">
      <c r="N22" s="28"/>
      <c r="O22" s="28"/>
      <c r="P22" s="28"/>
      <c r="Q22" s="28"/>
    </row>
    <row r="23" spans="1:17" s="17" customFormat="1" hidden="1" x14ac:dyDescent="0.25">
      <c r="N23" s="28"/>
      <c r="O23" s="28"/>
      <c r="P23" s="28"/>
      <c r="Q23" s="28"/>
    </row>
    <row r="24" spans="1:17" s="17" customFormat="1" hidden="1" x14ac:dyDescent="0.25">
      <c r="N24" s="28"/>
      <c r="O24" s="28"/>
      <c r="P24" s="28"/>
      <c r="Q24" s="28"/>
    </row>
    <row r="25" spans="1:17" s="17" customFormat="1" hidden="1" x14ac:dyDescent="0.25">
      <c r="N25" s="28"/>
      <c r="O25" s="28"/>
      <c r="P25" s="28"/>
      <c r="Q25" s="28"/>
    </row>
    <row r="26" spans="1:17" s="17" customFormat="1" hidden="1" x14ac:dyDescent="0.25">
      <c r="N26" s="28"/>
      <c r="O26" s="28"/>
      <c r="P26" s="28"/>
      <c r="Q26" s="28"/>
    </row>
    <row r="27" spans="1:17" s="17" customFormat="1" hidden="1" x14ac:dyDescent="0.25">
      <c r="N27" s="28"/>
      <c r="O27" s="28"/>
      <c r="P27" s="28"/>
      <c r="Q27" s="28"/>
    </row>
    <row r="28" spans="1:17" s="17" customFormat="1" hidden="1" x14ac:dyDescent="0.25">
      <c r="N28" s="28"/>
      <c r="O28" s="28"/>
      <c r="P28" s="28"/>
      <c r="Q28" s="28"/>
    </row>
    <row r="29" spans="1:17" s="17" customFormat="1" hidden="1" x14ac:dyDescent="0.25">
      <c r="N29" s="28"/>
      <c r="O29" s="28"/>
      <c r="P29" s="28"/>
      <c r="Q29" s="28"/>
    </row>
    <row r="30" spans="1:17" s="17" customFormat="1" hidden="1" x14ac:dyDescent="0.25">
      <c r="N30" s="28"/>
      <c r="O30" s="28"/>
      <c r="P30" s="28"/>
      <c r="Q30" s="28"/>
    </row>
    <row r="31" spans="1:17" s="17" customFormat="1" hidden="1" x14ac:dyDescent="0.25">
      <c r="N31" s="28"/>
      <c r="O31" s="28"/>
      <c r="P31" s="28"/>
      <c r="Q31" s="28"/>
    </row>
    <row r="32" spans="1:17" s="17" customFormat="1" hidden="1" x14ac:dyDescent="0.25">
      <c r="N32" s="28"/>
      <c r="O32" s="28"/>
      <c r="P32" s="28"/>
      <c r="Q32" s="28"/>
    </row>
    <row r="33" spans="14:17" s="17" customFormat="1" hidden="1" x14ac:dyDescent="0.25">
      <c r="N33" s="28"/>
      <c r="O33" s="28"/>
      <c r="P33" s="28"/>
      <c r="Q33" s="28"/>
    </row>
    <row r="34" spans="14:17" s="17" customFormat="1" hidden="1" x14ac:dyDescent="0.25">
      <c r="N34" s="28"/>
      <c r="O34" s="28"/>
      <c r="P34" s="28"/>
      <c r="Q34" s="28"/>
    </row>
    <row r="35" spans="14:17" hidden="1" x14ac:dyDescent="0.25"/>
  </sheetData>
  <autoFilter ref="A1:Q35" xr:uid="{D3122FF0-1C62-480A-894F-892AE4912BF5}">
    <filterColumn colId="5">
      <filters>
        <filter val="Abril-2019"/>
      </filters>
    </filterColumn>
    <filterColumn colId="12">
      <filters>
        <filter val="AA110"/>
      </filters>
    </filterColumn>
    <sortState xmlns:xlrd2="http://schemas.microsoft.com/office/spreadsheetml/2017/richdata2" ref="A2:Q35">
      <sortCondition ref="A1:A18"/>
    </sortState>
  </autoFilter>
  <mergeCells count="4">
    <mergeCell ref="AH2:AH4"/>
    <mergeCell ref="AH5:AH6"/>
    <mergeCell ref="AH7:AH8"/>
    <mergeCell ref="AH9:AH1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4D036-37CB-47C5-BD2C-2EB0964F5A11}">
  <dimension ref="A1:AD79"/>
  <sheetViews>
    <sheetView showGridLines="0" topLeftCell="I46" zoomScale="93" zoomScaleNormal="93" workbookViewId="0">
      <selection activeCell="S59" sqref="S59"/>
    </sheetView>
  </sheetViews>
  <sheetFormatPr baseColWidth="10" defaultRowHeight="15" x14ac:dyDescent="0.25"/>
  <cols>
    <col min="1" max="1" width="23" hidden="1" customWidth="1"/>
    <col min="2" max="2" width="25.28515625" bestFit="1" customWidth="1"/>
    <col min="3" max="3" width="17" customWidth="1"/>
    <col min="4" max="7" width="13.5703125" bestFit="1" customWidth="1"/>
    <col min="8" max="8" width="13.140625" bestFit="1" customWidth="1"/>
    <col min="9" max="9" width="11.85546875" bestFit="1" customWidth="1"/>
    <col min="10" max="10" width="11.42578125" customWidth="1"/>
    <col min="11" max="11" width="12.42578125" bestFit="1" customWidth="1"/>
    <col min="12" max="12" width="22.85546875" bestFit="1" customWidth="1"/>
    <col min="13" max="13" width="8.42578125" customWidth="1"/>
    <col min="14" max="14" width="19.140625" customWidth="1"/>
    <col min="15" max="15" width="19" customWidth="1"/>
    <col min="16" max="16" width="17.7109375" customWidth="1"/>
    <col min="17" max="19" width="13.140625" bestFit="1" customWidth="1"/>
    <col min="20" max="21" width="13" bestFit="1" customWidth="1"/>
    <col min="22" max="22" width="10" bestFit="1" customWidth="1"/>
  </cols>
  <sheetData>
    <row r="1" spans="1:17" ht="60" x14ac:dyDescent="0.25">
      <c r="A1" s="82" t="s">
        <v>22</v>
      </c>
      <c r="B1" s="82" t="s">
        <v>21</v>
      </c>
      <c r="C1" s="82" t="s">
        <v>20</v>
      </c>
      <c r="D1" s="82" t="s">
        <v>19</v>
      </c>
      <c r="E1" s="82" t="s">
        <v>18</v>
      </c>
      <c r="F1" s="82" t="s">
        <v>17</v>
      </c>
      <c r="G1" s="82" t="s">
        <v>16</v>
      </c>
      <c r="H1" s="82" t="s">
        <v>15</v>
      </c>
      <c r="I1" s="82" t="s">
        <v>14</v>
      </c>
      <c r="J1" s="82" t="s">
        <v>13</v>
      </c>
      <c r="K1" s="82" t="s">
        <v>12</v>
      </c>
      <c r="L1" s="82" t="s">
        <v>11</v>
      </c>
      <c r="M1" s="82" t="s">
        <v>10</v>
      </c>
      <c r="N1" s="82" t="s">
        <v>9</v>
      </c>
      <c r="O1" s="82" t="s">
        <v>8</v>
      </c>
      <c r="P1" s="82" t="s">
        <v>7</v>
      </c>
      <c r="Q1" s="82" t="s">
        <v>6</v>
      </c>
    </row>
    <row r="2" spans="1:17" x14ac:dyDescent="0.25">
      <c r="A2" s="62">
        <v>43328</v>
      </c>
      <c r="B2" s="62" t="str">
        <f t="shared" ref="B2:B18" si="0">CONCATENATE(C2,"/",F2)</f>
        <v>Agosto-2018/Abril-2019</v>
      </c>
      <c r="C2" s="62" t="s">
        <v>24</v>
      </c>
      <c r="D2" s="62" t="str">
        <f t="shared" ref="D2:D18" si="1">+MID(E2,1,3)</f>
        <v>ELS</v>
      </c>
      <c r="E2" s="62" t="s">
        <v>26</v>
      </c>
      <c r="F2" s="62" t="str">
        <f>+VLOOKUP(E2,[1]Vencimientos!$D:$F,3,0)</f>
        <v>Abril-2019</v>
      </c>
      <c r="G2" s="62">
        <f>+VLOOKUP(E2,[1]Vencimientos!$D:$E,2,0)</f>
        <v>43588</v>
      </c>
      <c r="H2" s="62">
        <v>8</v>
      </c>
      <c r="I2" s="62">
        <v>194.5</v>
      </c>
      <c r="J2" s="62">
        <f>10000*H2</f>
        <v>80000</v>
      </c>
      <c r="K2" s="62">
        <f>+H2*I2*10000</f>
        <v>15560000</v>
      </c>
      <c r="L2" s="62" t="s">
        <v>1</v>
      </c>
      <c r="M2" s="62" t="s">
        <v>28</v>
      </c>
      <c r="N2" s="62">
        <f>SUMIFS($J$2:J2,$M$2:M2,M2,$F$2:F2,F2)</f>
        <v>80000</v>
      </c>
      <c r="O2" s="62">
        <f t="shared" ref="O2:O18" si="2">I2*J2</f>
        <v>15560000</v>
      </c>
      <c r="P2" s="62">
        <f>SUMIFS($O$2:O2,$M$2:M2,M2,$F$2:F2,F2)</f>
        <v>15560000</v>
      </c>
      <c r="Q2" s="62">
        <f t="shared" ref="Q2:Q18" si="3">P2/N2</f>
        <v>194.5</v>
      </c>
    </row>
    <row r="3" spans="1:17" x14ac:dyDescent="0.25">
      <c r="A3" s="62">
        <v>43328</v>
      </c>
      <c r="B3" s="62" t="str">
        <f t="shared" si="0"/>
        <v>Agosto-2018/Abril-2019</v>
      </c>
      <c r="C3" s="62" t="s">
        <v>24</v>
      </c>
      <c r="D3" s="62" t="str">
        <f t="shared" si="1"/>
        <v>ELM</v>
      </c>
      <c r="E3" s="62" t="s">
        <v>29</v>
      </c>
      <c r="F3" s="62" t="str">
        <f>+VLOOKUP(E3,[1]Vencimientos!$D:$F,3,0)</f>
        <v>Abril-2019</v>
      </c>
      <c r="G3" s="62">
        <f>+VLOOKUP(E3,[1]Vencimientos!$D:$E,2,0)</f>
        <v>43588</v>
      </c>
      <c r="H3" s="62">
        <v>1</v>
      </c>
      <c r="I3" s="62">
        <v>194.5</v>
      </c>
      <c r="J3" s="62">
        <f>360000*H3</f>
        <v>360000</v>
      </c>
      <c r="K3" s="62">
        <f>+H3*I3*360000</f>
        <v>70020000</v>
      </c>
      <c r="L3" s="62" t="s">
        <v>1</v>
      </c>
      <c r="M3" s="62" t="s">
        <v>2</v>
      </c>
      <c r="N3" s="62">
        <f>SUMIFS($J$2:J3,$M$2:M3,M3,$F$2:F3,F3)</f>
        <v>360000</v>
      </c>
      <c r="O3" s="62">
        <f t="shared" si="2"/>
        <v>70020000</v>
      </c>
      <c r="P3" s="62">
        <f>SUMIFS($O$2:O3,$M$2:M3,M3,$F$2:F3,F3)</f>
        <v>70020000</v>
      </c>
      <c r="Q3" s="62">
        <f t="shared" si="3"/>
        <v>194.5</v>
      </c>
    </row>
    <row r="4" spans="1:17" x14ac:dyDescent="0.25">
      <c r="A4" s="62">
        <v>43404</v>
      </c>
      <c r="B4" s="62" t="str">
        <f t="shared" si="0"/>
        <v>Octubre-2018/Abril-2019</v>
      </c>
      <c r="C4" s="62" t="s">
        <v>31</v>
      </c>
      <c r="D4" s="62" t="str">
        <f t="shared" si="1"/>
        <v>ELM</v>
      </c>
      <c r="E4" s="62" t="s">
        <v>29</v>
      </c>
      <c r="F4" s="62" t="str">
        <f>+VLOOKUP(E4,[1]Vencimientos!$D:$F,3,0)</f>
        <v>Abril-2019</v>
      </c>
      <c r="G4" s="62">
        <f>+VLOOKUP(E4,[1]Vencimientos!$D:$E,2,0)</f>
        <v>43588</v>
      </c>
      <c r="H4" s="62">
        <v>4</v>
      </c>
      <c r="I4" s="62">
        <v>198</v>
      </c>
      <c r="J4" s="62">
        <f>360000*H4</f>
        <v>1440000</v>
      </c>
      <c r="K4" s="62">
        <f>+H4*I4*360000</f>
        <v>285120000</v>
      </c>
      <c r="L4" s="62" t="s">
        <v>1</v>
      </c>
      <c r="M4" s="62" t="s">
        <v>32</v>
      </c>
      <c r="N4" s="62">
        <f>SUMIFS($J$2:J4,$M$2:M4,M4,$F$2:F4,F4)</f>
        <v>1440000</v>
      </c>
      <c r="O4" s="62">
        <f t="shared" si="2"/>
        <v>285120000</v>
      </c>
      <c r="P4" s="62">
        <f>SUMIFS($O$2:O4,$M$2:M4,M4,$F$2:F4,F4)</f>
        <v>285120000</v>
      </c>
      <c r="Q4" s="62">
        <f t="shared" si="3"/>
        <v>198</v>
      </c>
    </row>
    <row r="5" spans="1:17" x14ac:dyDescent="0.25">
      <c r="A5" s="62">
        <v>43404</v>
      </c>
      <c r="B5" s="62" t="str">
        <f t="shared" si="0"/>
        <v>Octubre-2018/Abril-2019</v>
      </c>
      <c r="C5" s="62" t="s">
        <v>31</v>
      </c>
      <c r="D5" s="62" t="str">
        <f t="shared" si="1"/>
        <v>ELS</v>
      </c>
      <c r="E5" s="62" t="s">
        <v>26</v>
      </c>
      <c r="F5" s="62" t="str">
        <f>+VLOOKUP(E5,[1]Vencimientos!$D:$F,3,0)</f>
        <v>Abril-2019</v>
      </c>
      <c r="G5" s="62">
        <f>+VLOOKUP(E5,[1]Vencimientos!$D:$E,2,0)</f>
        <v>43588</v>
      </c>
      <c r="H5" s="62">
        <v>6</v>
      </c>
      <c r="I5" s="62">
        <v>198</v>
      </c>
      <c r="J5" s="62">
        <f>10000*H5</f>
        <v>60000</v>
      </c>
      <c r="K5" s="62">
        <f>+H5*I5*10000</f>
        <v>11880000</v>
      </c>
      <c r="L5" s="62" t="s">
        <v>1</v>
      </c>
      <c r="M5" s="62" t="s">
        <v>32</v>
      </c>
      <c r="N5" s="62">
        <f>SUMIFS($J$2:J5,$M$2:M5,M5,$F$2:F5,F5)</f>
        <v>1500000</v>
      </c>
      <c r="O5" s="62">
        <f t="shared" si="2"/>
        <v>11880000</v>
      </c>
      <c r="P5" s="62">
        <f>SUMIFS($O$2:O5,$M$2:M5,M5,$F$2:F5,F5)</f>
        <v>297000000</v>
      </c>
      <c r="Q5" s="62">
        <f t="shared" si="3"/>
        <v>198</v>
      </c>
    </row>
    <row r="6" spans="1:17" x14ac:dyDescent="0.25">
      <c r="A6" s="62">
        <v>43532</v>
      </c>
      <c r="B6" s="62" t="str">
        <f t="shared" si="0"/>
        <v>Marzo-2019/Abril-2019</v>
      </c>
      <c r="C6" s="62" t="s">
        <v>34</v>
      </c>
      <c r="D6" s="62" t="str">
        <f t="shared" si="1"/>
        <v>ELM</v>
      </c>
      <c r="E6" s="62" t="s">
        <v>29</v>
      </c>
      <c r="F6" s="62" t="str">
        <f>+VLOOKUP(E6,[1]Vencimientos!$D:$F,3,0)</f>
        <v>Abril-2019</v>
      </c>
      <c r="G6" s="62">
        <f>+VLOOKUP(E6,[1]Vencimientos!$D:$E,2,0)</f>
        <v>43588</v>
      </c>
      <c r="H6" s="62">
        <v>1</v>
      </c>
      <c r="I6" s="62">
        <v>215</v>
      </c>
      <c r="J6" s="62">
        <f>360000*H6</f>
        <v>360000</v>
      </c>
      <c r="K6" s="62">
        <f>+H6*I6*360000</f>
        <v>77400000</v>
      </c>
      <c r="L6" s="62" t="s">
        <v>1</v>
      </c>
      <c r="M6" s="62" t="s">
        <v>32</v>
      </c>
      <c r="N6" s="62">
        <f>SUMIFS($J$2:J6,$M$2:M6,M6,$F$2:F6,F6)</f>
        <v>1860000</v>
      </c>
      <c r="O6" s="62">
        <f t="shared" si="2"/>
        <v>77400000</v>
      </c>
      <c r="P6" s="62">
        <f>SUMIFS($O$2:O6,$M$2:M6,M6,$F$2:F6,F6)</f>
        <v>374400000</v>
      </c>
      <c r="Q6" s="62">
        <f t="shared" si="3"/>
        <v>201.29032258064515</v>
      </c>
    </row>
    <row r="7" spans="1:17" x14ac:dyDescent="0.25">
      <c r="A7" s="62">
        <v>43532</v>
      </c>
      <c r="B7" s="62" t="str">
        <f t="shared" si="0"/>
        <v>Marzo-2019/Abril-2019</v>
      </c>
      <c r="C7" s="62" t="s">
        <v>34</v>
      </c>
      <c r="D7" s="62" t="str">
        <f t="shared" si="1"/>
        <v>ELS</v>
      </c>
      <c r="E7" s="62" t="s">
        <v>26</v>
      </c>
      <c r="F7" s="62" t="str">
        <f>+VLOOKUP(E7,[1]Vencimientos!$D:$F,3,0)</f>
        <v>Abril-2019</v>
      </c>
      <c r="G7" s="62">
        <f>+VLOOKUP(E7,[1]Vencimientos!$D:$E,2,0)</f>
        <v>43588</v>
      </c>
      <c r="H7" s="62">
        <v>1</v>
      </c>
      <c r="I7" s="62">
        <v>218</v>
      </c>
      <c r="J7" s="62">
        <f>10000*H7</f>
        <v>10000</v>
      </c>
      <c r="K7" s="62">
        <f>+H7*I7*10000</f>
        <v>2180000</v>
      </c>
      <c r="L7" s="62" t="s">
        <v>1</v>
      </c>
      <c r="M7" s="62" t="s">
        <v>32</v>
      </c>
      <c r="N7" s="62">
        <f>SUMIFS($J$2:J7,$M$2:M7,M7,$F$2:F7,F7)</f>
        <v>1870000</v>
      </c>
      <c r="O7" s="62">
        <f t="shared" si="2"/>
        <v>2180000</v>
      </c>
      <c r="P7" s="62">
        <f>SUMIFS($O$2:O7,$M$2:M7,M7,$F$2:F7,F7)</f>
        <v>376580000</v>
      </c>
      <c r="Q7" s="62">
        <f t="shared" si="3"/>
        <v>201.37967914438502</v>
      </c>
    </row>
    <row r="8" spans="1:17" x14ac:dyDescent="0.25">
      <c r="A8" s="62">
        <v>43448</v>
      </c>
      <c r="B8" s="62" t="str">
        <f t="shared" si="0"/>
        <v>Diciembre-2018/Abril-2019</v>
      </c>
      <c r="C8" s="62" t="s">
        <v>36</v>
      </c>
      <c r="D8" s="62" t="str">
        <f t="shared" si="1"/>
        <v>ELM</v>
      </c>
      <c r="E8" s="62" t="s">
        <v>29</v>
      </c>
      <c r="F8" s="62" t="str">
        <f>+VLOOKUP(E8,[1]Vencimientos!$D:$F,3,0)</f>
        <v>Abril-2019</v>
      </c>
      <c r="G8" s="62">
        <f>+VLOOKUP(E8,[1]Vencimientos!$D:$E,2,0)</f>
        <v>43588</v>
      </c>
      <c r="H8" s="62">
        <v>6</v>
      </c>
      <c r="I8" s="62">
        <v>206</v>
      </c>
      <c r="J8" s="62">
        <f>360000*H8</f>
        <v>2160000</v>
      </c>
      <c r="K8" s="62">
        <f>+H8*I8*360000</f>
        <v>444960000</v>
      </c>
      <c r="L8" s="62" t="s">
        <v>1</v>
      </c>
      <c r="M8" s="62" t="s">
        <v>4</v>
      </c>
      <c r="N8" s="62">
        <f>SUMIFS($J$2:J8,$M$2:M8,M8,$F$2:F8,F8)</f>
        <v>2160000</v>
      </c>
      <c r="O8" s="62">
        <f t="shared" si="2"/>
        <v>444960000</v>
      </c>
      <c r="P8" s="62">
        <f>SUMIFS($O$2:O8,$M$2:M8,M8,$F$2:F8,F8)</f>
        <v>444960000</v>
      </c>
      <c r="Q8" s="62">
        <f t="shared" si="3"/>
        <v>206</v>
      </c>
    </row>
    <row r="9" spans="1:17" x14ac:dyDescent="0.25">
      <c r="A9" s="62">
        <v>43461</v>
      </c>
      <c r="B9" s="62" t="str">
        <f t="shared" si="0"/>
        <v>Diciembre-2018/Abril-2019</v>
      </c>
      <c r="C9" s="62" t="s">
        <v>36</v>
      </c>
      <c r="D9" s="62" t="str">
        <f t="shared" si="1"/>
        <v>ELS</v>
      </c>
      <c r="E9" s="62" t="s">
        <v>26</v>
      </c>
      <c r="F9" s="62" t="str">
        <f>+VLOOKUP(E9,[1]Vencimientos!$D:$F,3,0)</f>
        <v>Abril-2019</v>
      </c>
      <c r="G9" s="62">
        <f>+VLOOKUP(E9,[1]Vencimientos!$D:$E,2,0)</f>
        <v>43588</v>
      </c>
      <c r="H9" s="62">
        <v>19</v>
      </c>
      <c r="I9" s="62">
        <v>210</v>
      </c>
      <c r="J9" s="62">
        <f>10000*H9</f>
        <v>190000</v>
      </c>
      <c r="K9" s="62">
        <f>+H9*I9*10000</f>
        <v>39900000</v>
      </c>
      <c r="L9" s="62" t="s">
        <v>1</v>
      </c>
      <c r="M9" s="62" t="s">
        <v>5</v>
      </c>
      <c r="N9" s="62">
        <f>SUMIFS($J$2:J9,$M$2:M9,M9,$F$2:F9,F9)</f>
        <v>190000</v>
      </c>
      <c r="O9" s="62">
        <f t="shared" si="2"/>
        <v>39900000</v>
      </c>
      <c r="P9" s="62">
        <f>SUMIFS($O$2:O9,$M$2:M9,M9,$F$2:F9,F9)</f>
        <v>39900000</v>
      </c>
      <c r="Q9" s="62">
        <f t="shared" si="3"/>
        <v>210</v>
      </c>
    </row>
    <row r="10" spans="1:17" x14ac:dyDescent="0.25">
      <c r="A10" s="62">
        <v>43542</v>
      </c>
      <c r="B10" s="62" t="str">
        <f t="shared" si="0"/>
        <v>Marzo-2019/Abril-2019</v>
      </c>
      <c r="C10" s="62" t="s">
        <v>34</v>
      </c>
      <c r="D10" s="62" t="str">
        <f t="shared" si="1"/>
        <v>ELM</v>
      </c>
      <c r="E10" s="62" t="s">
        <v>29</v>
      </c>
      <c r="F10" s="62" t="str">
        <f>+VLOOKUP(E10,[1]Vencimientos!$D:$F,3,0)</f>
        <v>Abril-2019</v>
      </c>
      <c r="G10" s="62">
        <f>+VLOOKUP(E10,[1]Vencimientos!$D:$E,2,0)</f>
        <v>43588</v>
      </c>
      <c r="H10" s="62">
        <v>1</v>
      </c>
      <c r="I10" s="62">
        <v>216</v>
      </c>
      <c r="J10" s="62">
        <f>360000*H10</f>
        <v>360000</v>
      </c>
      <c r="K10" s="62">
        <f>+H10*I10*360000</f>
        <v>77760000</v>
      </c>
      <c r="L10" s="62" t="s">
        <v>1</v>
      </c>
      <c r="M10" s="62" t="s">
        <v>5</v>
      </c>
      <c r="N10" s="62">
        <f>SUMIFS($J$2:J10,$M$2:M10,M10,$F$2:F10,F10)</f>
        <v>550000</v>
      </c>
      <c r="O10" s="62">
        <f t="shared" si="2"/>
        <v>77760000</v>
      </c>
      <c r="P10" s="62">
        <f>SUMIFS($O$2:O10,$M$2:M10,M10,$F$2:F10,F10)</f>
        <v>117660000</v>
      </c>
      <c r="Q10" s="62">
        <f t="shared" si="3"/>
        <v>213.92727272727274</v>
      </c>
    </row>
    <row r="11" spans="1:17" x14ac:dyDescent="0.25">
      <c r="A11" s="62">
        <v>43328</v>
      </c>
      <c r="B11" s="62" t="str">
        <f t="shared" si="0"/>
        <v>Agosto-2018/Mayo-2019</v>
      </c>
      <c r="C11" s="62" t="s">
        <v>24</v>
      </c>
      <c r="D11" s="62" t="str">
        <f t="shared" si="1"/>
        <v>ELM</v>
      </c>
      <c r="E11" s="62" t="s">
        <v>38</v>
      </c>
      <c r="F11" s="62" t="str">
        <f>+VLOOKUP(E11,[1]Vencimientos!$D:$F,3,0)</f>
        <v>Mayo-2019</v>
      </c>
      <c r="G11" s="62">
        <f>+VLOOKUP(E11,[1]Vencimientos!$D:$E,2,0)</f>
        <v>43621</v>
      </c>
      <c r="H11" s="62">
        <v>1</v>
      </c>
      <c r="I11" s="62">
        <v>194.5</v>
      </c>
      <c r="J11" s="62">
        <f>360000*H11</f>
        <v>360000</v>
      </c>
      <c r="K11" s="62">
        <f>+H11*I11*360000</f>
        <v>70020000</v>
      </c>
      <c r="L11" s="62" t="s">
        <v>1</v>
      </c>
      <c r="M11" s="62" t="s">
        <v>32</v>
      </c>
      <c r="N11" s="62">
        <f>SUMIFS($J$2:J11,$M$2:M11,M11,$F$2:F11,F11)</f>
        <v>360000</v>
      </c>
      <c r="O11" s="62">
        <f t="shared" si="2"/>
        <v>70020000</v>
      </c>
      <c r="P11" s="62">
        <f>SUMIFS($O$2:O11,$M$2:M11,M11,$F$2:F11,F11)</f>
        <v>70020000</v>
      </c>
      <c r="Q11" s="62">
        <f t="shared" si="3"/>
        <v>194.5</v>
      </c>
    </row>
    <row r="12" spans="1:17" x14ac:dyDescent="0.25">
      <c r="A12" s="62">
        <v>43328</v>
      </c>
      <c r="B12" s="62" t="str">
        <f t="shared" si="0"/>
        <v>Agosto-2018/Mayo-2019</v>
      </c>
      <c r="C12" s="62" t="s">
        <v>24</v>
      </c>
      <c r="D12" s="62" t="str">
        <f t="shared" si="1"/>
        <v>ELS</v>
      </c>
      <c r="E12" s="62" t="s">
        <v>40</v>
      </c>
      <c r="F12" s="62" t="str">
        <f>+VLOOKUP(E12,[1]Vencimientos!$D:$F,3,0)</f>
        <v>Mayo-2019</v>
      </c>
      <c r="G12" s="62">
        <f>+VLOOKUP(E12,[1]Vencimientos!$D:$E,2,0)</f>
        <v>43621</v>
      </c>
      <c r="H12" s="62">
        <v>8</v>
      </c>
      <c r="I12" s="62">
        <v>194.5</v>
      </c>
      <c r="J12" s="62">
        <f>10000*H12</f>
        <v>80000</v>
      </c>
      <c r="K12" s="62">
        <f>+H12*I12*10000</f>
        <v>15560000</v>
      </c>
      <c r="L12" s="62" t="s">
        <v>1</v>
      </c>
      <c r="M12" s="62" t="s">
        <v>32</v>
      </c>
      <c r="N12" s="62">
        <f>SUMIFS($J$2:J12,$M$2:M12,M12,$F$2:F12,F12)</f>
        <v>440000</v>
      </c>
      <c r="O12" s="62">
        <f t="shared" si="2"/>
        <v>15560000</v>
      </c>
      <c r="P12" s="62">
        <f>SUMIFS($O$2:O12,$M$2:M12,M12,$F$2:F12,F12)</f>
        <v>85580000</v>
      </c>
      <c r="Q12" s="62">
        <f t="shared" si="3"/>
        <v>194.5</v>
      </c>
    </row>
    <row r="13" spans="1:17" x14ac:dyDescent="0.25">
      <c r="A13" s="62">
        <v>43404</v>
      </c>
      <c r="B13" s="62" t="str">
        <f t="shared" si="0"/>
        <v>Octubre-2018/Mayo-2019</v>
      </c>
      <c r="C13" s="62" t="s">
        <v>31</v>
      </c>
      <c r="D13" s="62" t="str">
        <f t="shared" si="1"/>
        <v>ELM</v>
      </c>
      <c r="E13" s="62" t="s">
        <v>38</v>
      </c>
      <c r="F13" s="62" t="str">
        <f>+VLOOKUP(E13,[1]Vencimientos!$D:$F,3,0)</f>
        <v>Mayo-2019</v>
      </c>
      <c r="G13" s="62">
        <f>+VLOOKUP(E13,[1]Vencimientos!$D:$E,2,0)</f>
        <v>43621</v>
      </c>
      <c r="H13" s="62">
        <v>4</v>
      </c>
      <c r="I13" s="62">
        <v>198</v>
      </c>
      <c r="J13" s="62">
        <f>360000*H13</f>
        <v>1440000</v>
      </c>
      <c r="K13" s="62">
        <f>+H13*I13*360000</f>
        <v>285120000</v>
      </c>
      <c r="L13" s="62" t="s">
        <v>1</v>
      </c>
      <c r="M13" s="62" t="s">
        <v>5</v>
      </c>
      <c r="N13" s="62">
        <f>SUMIFS($J$2:J13,$M$2:M13,M13,$F$2:F13,F13)</f>
        <v>1440000</v>
      </c>
      <c r="O13" s="62">
        <f t="shared" si="2"/>
        <v>285120000</v>
      </c>
      <c r="P13" s="62">
        <f>SUMIFS($O$2:O13,$M$2:M13,M13,$F$2:F13,F13)</f>
        <v>285120000</v>
      </c>
      <c r="Q13" s="62">
        <f t="shared" si="3"/>
        <v>198</v>
      </c>
    </row>
    <row r="14" spans="1:17" x14ac:dyDescent="0.25">
      <c r="A14" s="62">
        <v>43404</v>
      </c>
      <c r="B14" s="62" t="str">
        <f t="shared" si="0"/>
        <v>Octubre-2018/Mayo-2019</v>
      </c>
      <c r="C14" s="62" t="s">
        <v>31</v>
      </c>
      <c r="D14" s="62" t="str">
        <f t="shared" si="1"/>
        <v>ELS</v>
      </c>
      <c r="E14" s="62" t="s">
        <v>40</v>
      </c>
      <c r="F14" s="62" t="str">
        <f>+VLOOKUP(E14,[1]Vencimientos!$D:$F,3,0)</f>
        <v>Mayo-2019</v>
      </c>
      <c r="G14" s="62">
        <f>+VLOOKUP(E14,[1]Vencimientos!$D:$E,2,0)</f>
        <v>43621</v>
      </c>
      <c r="H14" s="62">
        <v>6</v>
      </c>
      <c r="I14" s="62">
        <v>198</v>
      </c>
      <c r="J14" s="62">
        <f>10000*H14</f>
        <v>60000</v>
      </c>
      <c r="K14" s="62">
        <f>+H14*I14*10000</f>
        <v>11880000</v>
      </c>
      <c r="L14" s="62" t="s">
        <v>1</v>
      </c>
      <c r="M14" s="62" t="s">
        <v>5</v>
      </c>
      <c r="N14" s="62">
        <f>SUMIFS($J$2:J14,$M$2:M14,M14,$F$2:F14,F14)</f>
        <v>1500000</v>
      </c>
      <c r="O14" s="62">
        <f t="shared" si="2"/>
        <v>11880000</v>
      </c>
      <c r="P14" s="62">
        <f>SUMIFS($O$2:O14,$M$2:M14,M14,$F$2:F14,F14)</f>
        <v>297000000</v>
      </c>
      <c r="Q14" s="62">
        <f t="shared" si="3"/>
        <v>198</v>
      </c>
    </row>
    <row r="15" spans="1:17" x14ac:dyDescent="0.25">
      <c r="A15" s="62">
        <v>43577</v>
      </c>
      <c r="B15" s="62" t="str">
        <f t="shared" si="0"/>
        <v>Abril-2019/Mayo-2019</v>
      </c>
      <c r="C15" s="62" t="s">
        <v>27</v>
      </c>
      <c r="D15" s="62" t="str">
        <f t="shared" si="1"/>
        <v>ELM</v>
      </c>
      <c r="E15" s="62" t="s">
        <v>38</v>
      </c>
      <c r="F15" s="62" t="str">
        <f>+VLOOKUP(E15,[1]Vencimientos!$D:$F,3,0)</f>
        <v>Mayo-2019</v>
      </c>
      <c r="G15" s="62">
        <f>+VLOOKUP(E15,[1]Vencimientos!$D:$E,2,0)</f>
        <v>43621</v>
      </c>
      <c r="H15" s="62">
        <v>1</v>
      </c>
      <c r="I15" s="62">
        <v>201</v>
      </c>
      <c r="J15" s="62">
        <f>360000*H15</f>
        <v>360000</v>
      </c>
      <c r="K15" s="62">
        <f>+H15*I15*360000</f>
        <v>72360000</v>
      </c>
      <c r="L15" s="62" t="s">
        <v>1</v>
      </c>
      <c r="M15" s="62" t="s">
        <v>5</v>
      </c>
      <c r="N15" s="62">
        <f>SUMIFS($J$2:J15,$M$2:M15,M15,$F$2:F15,F15)</f>
        <v>1860000</v>
      </c>
      <c r="O15" s="62">
        <f t="shared" si="2"/>
        <v>72360000</v>
      </c>
      <c r="P15" s="62">
        <f>SUMIFS($O$2:O15,$M$2:M15,M15,$F$2:F15,F15)</f>
        <v>369360000</v>
      </c>
      <c r="Q15" s="62">
        <f t="shared" si="3"/>
        <v>198.58064516129033</v>
      </c>
    </row>
    <row r="16" spans="1:17" x14ac:dyDescent="0.25">
      <c r="A16" s="62">
        <v>43528</v>
      </c>
      <c r="B16" s="62" t="str">
        <f t="shared" si="0"/>
        <v>Marzo-2019/Mayo-2019</v>
      </c>
      <c r="C16" s="62" t="s">
        <v>34</v>
      </c>
      <c r="D16" s="62" t="str">
        <f t="shared" si="1"/>
        <v>ELM</v>
      </c>
      <c r="E16" s="62" t="s">
        <v>38</v>
      </c>
      <c r="F16" s="62" t="str">
        <f>+VLOOKUP(E16,[1]Vencimientos!$D:$F,3,0)</f>
        <v>Mayo-2019</v>
      </c>
      <c r="G16" s="62">
        <f>+VLOOKUP(E16,[1]Vencimientos!$D:$E,2,0)</f>
        <v>43621</v>
      </c>
      <c r="H16" s="62">
        <v>1</v>
      </c>
      <c r="I16" s="62">
        <v>200</v>
      </c>
      <c r="J16" s="62">
        <f>360000*H16</f>
        <v>360000</v>
      </c>
      <c r="K16" s="62">
        <f>+H16*I16*360000</f>
        <v>72000000</v>
      </c>
      <c r="L16" s="62" t="s">
        <v>1</v>
      </c>
      <c r="M16" s="62" t="s">
        <v>2</v>
      </c>
      <c r="N16" s="62">
        <f>SUMIFS($J$2:J16,$M$2:M16,M16,$F$2:F16,F16)</f>
        <v>360000</v>
      </c>
      <c r="O16" s="62">
        <f t="shared" si="2"/>
        <v>72000000</v>
      </c>
      <c r="P16" s="62">
        <f>SUMIFS($O$2:O16,$M$2:M16,M16,$F$2:F16,F16)</f>
        <v>72000000</v>
      </c>
      <c r="Q16" s="62">
        <f t="shared" si="3"/>
        <v>200</v>
      </c>
    </row>
    <row r="17" spans="1:30" x14ac:dyDescent="0.25">
      <c r="A17" s="62">
        <v>43591</v>
      </c>
      <c r="B17" s="62" t="str">
        <f t="shared" si="0"/>
        <v>Mayo-2019/Mayo-2019</v>
      </c>
      <c r="C17" s="62" t="s">
        <v>39</v>
      </c>
      <c r="D17" s="62" t="str">
        <f t="shared" si="1"/>
        <v>ELM</v>
      </c>
      <c r="E17" s="62" t="s">
        <v>38</v>
      </c>
      <c r="F17" s="62" t="str">
        <f>+VLOOKUP(E17,[1]Vencimientos!$D:$F,3,0)</f>
        <v>Mayo-2019</v>
      </c>
      <c r="G17" s="62">
        <f>+VLOOKUP(E17,[1]Vencimientos!$D:$E,2,0)</f>
        <v>43621</v>
      </c>
      <c r="H17" s="62">
        <v>1</v>
      </c>
      <c r="I17" s="62">
        <v>201</v>
      </c>
      <c r="J17" s="62">
        <f>360000*H17</f>
        <v>360000</v>
      </c>
      <c r="K17" s="62">
        <f>+H17*I17*360000</f>
        <v>72360000</v>
      </c>
      <c r="L17" s="62" t="s">
        <v>1</v>
      </c>
      <c r="M17" s="62" t="s">
        <v>3</v>
      </c>
      <c r="N17" s="62">
        <f>SUMIFS($J$2:J17,$M$2:M17,M17,$F$2:F17,F17)</f>
        <v>360000</v>
      </c>
      <c r="O17" s="62">
        <f t="shared" si="2"/>
        <v>72360000</v>
      </c>
      <c r="P17" s="62">
        <f>SUMIFS($O$2:O17,$M$2:M17,M17,$F$2:F17,F17)</f>
        <v>72360000</v>
      </c>
      <c r="Q17" s="62">
        <f t="shared" si="3"/>
        <v>201</v>
      </c>
    </row>
    <row r="18" spans="1:30" x14ac:dyDescent="0.25">
      <c r="A18" s="62">
        <v>43532</v>
      </c>
      <c r="B18" s="62" t="str">
        <f t="shared" si="0"/>
        <v>Marzo-2019/Mayo-2019</v>
      </c>
      <c r="C18" s="62" t="s">
        <v>34</v>
      </c>
      <c r="D18" s="62" t="str">
        <f t="shared" si="1"/>
        <v>ELS</v>
      </c>
      <c r="E18" s="62" t="s">
        <v>40</v>
      </c>
      <c r="F18" s="62" t="str">
        <f>+VLOOKUP(E18,[1]Vencimientos!$D:$F,3,0)</f>
        <v>Mayo-2019</v>
      </c>
      <c r="G18" s="62">
        <f>+VLOOKUP(E18,[1]Vencimientos!$D:$E,2,0)</f>
        <v>43621</v>
      </c>
      <c r="H18" s="62">
        <v>1</v>
      </c>
      <c r="I18" s="62">
        <v>203</v>
      </c>
      <c r="J18" s="62">
        <f>10000*H18</f>
        <v>10000</v>
      </c>
      <c r="K18" s="62">
        <f>+H18*I18*10000</f>
        <v>2030000</v>
      </c>
      <c r="L18" s="62" t="s">
        <v>1</v>
      </c>
      <c r="M18" s="62" t="s">
        <v>4</v>
      </c>
      <c r="N18" s="62">
        <f>SUMIFS($J$2:J18,$M$2:M18,M18,$F$2:F18,F18)</f>
        <v>10000</v>
      </c>
      <c r="O18" s="62">
        <f t="shared" si="2"/>
        <v>2030000</v>
      </c>
      <c r="P18" s="62">
        <f>SUMIFS($O$2:O18,$M$2:M18,M18,$F$2:F18,F18)</f>
        <v>2030000</v>
      </c>
      <c r="Q18" s="62">
        <f t="shared" si="3"/>
        <v>203</v>
      </c>
    </row>
    <row r="19" spans="1:30" ht="15.75" thickBot="1" x14ac:dyDescent="0.3"/>
    <row r="20" spans="1:30" x14ac:dyDescent="0.25">
      <c r="A20" s="81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79"/>
      <c r="O20" s="81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79"/>
    </row>
    <row r="21" spans="1:30" x14ac:dyDescent="0.25">
      <c r="A21" s="16"/>
      <c r="C21" s="92" t="s">
        <v>75</v>
      </c>
      <c r="D21" s="67" t="s">
        <v>74</v>
      </c>
      <c r="E21" s="67" t="s">
        <v>73</v>
      </c>
      <c r="H21" s="78"/>
      <c r="I21" s="78"/>
      <c r="J21" s="95" t="s">
        <v>80</v>
      </c>
      <c r="K21" s="95"/>
      <c r="L21" s="95"/>
      <c r="M21" s="95"/>
      <c r="N21" s="64"/>
      <c r="O21" s="16"/>
      <c r="AD21" s="64"/>
    </row>
    <row r="22" spans="1:30" x14ac:dyDescent="0.25">
      <c r="A22" s="16"/>
      <c r="C22" s="92"/>
      <c r="D22" s="93">
        <v>43313</v>
      </c>
      <c r="E22" s="93"/>
      <c r="G22" s="78"/>
      <c r="H22" s="78"/>
      <c r="I22" s="78"/>
      <c r="J22" s="95"/>
      <c r="K22" s="95"/>
      <c r="L22" s="95"/>
      <c r="M22" s="95"/>
      <c r="N22" s="64"/>
      <c r="O22" s="16"/>
      <c r="P22" s="2" t="s">
        <v>75</v>
      </c>
      <c r="Q22" s="62" t="s">
        <v>24</v>
      </c>
      <c r="R22" s="62" t="s">
        <v>24</v>
      </c>
      <c r="S22" s="62" t="s">
        <v>24</v>
      </c>
      <c r="T22" s="62" t="s">
        <v>24</v>
      </c>
      <c r="X22" s="95" t="s">
        <v>79</v>
      </c>
      <c r="Y22" s="95"/>
      <c r="Z22" s="95"/>
      <c r="AA22" s="95"/>
      <c r="AD22" s="64"/>
    </row>
    <row r="23" spans="1:30" x14ac:dyDescent="0.25">
      <c r="A23" s="16"/>
      <c r="C23" s="42" t="s">
        <v>28</v>
      </c>
      <c r="D23" s="62">
        <f>J2/N2</f>
        <v>1</v>
      </c>
      <c r="E23" s="62">
        <v>194.5</v>
      </c>
      <c r="N23" s="64"/>
      <c r="O23" s="16"/>
      <c r="P23" s="77" t="s">
        <v>32</v>
      </c>
      <c r="Q23" s="54">
        <f>J11/N11</f>
        <v>1</v>
      </c>
      <c r="R23" s="53">
        <f>J11/N12</f>
        <v>0.81818181818181823</v>
      </c>
      <c r="S23" s="54">
        <v>194.5</v>
      </c>
      <c r="T23" s="52">
        <v>194.5</v>
      </c>
      <c r="X23" s="95"/>
      <c r="Y23" s="95"/>
      <c r="Z23" s="95"/>
      <c r="AA23" s="95"/>
      <c r="AD23" s="64"/>
    </row>
    <row r="24" spans="1:30" x14ac:dyDescent="0.25">
      <c r="A24" s="16"/>
      <c r="C24" s="60" t="s">
        <v>72</v>
      </c>
      <c r="D24" s="91">
        <f>(D23*E23)</f>
        <v>194.5</v>
      </c>
      <c r="E24" s="91"/>
      <c r="N24" s="64"/>
      <c r="O24" s="16"/>
      <c r="P24" s="77" t="s">
        <v>32</v>
      </c>
      <c r="Q24" s="47"/>
      <c r="R24" s="46">
        <f>J12/N12</f>
        <v>0.18181818181818182</v>
      </c>
      <c r="S24" s="51"/>
      <c r="T24" s="50">
        <v>194.5</v>
      </c>
      <c r="AD24" s="64"/>
    </row>
    <row r="25" spans="1:30" x14ac:dyDescent="0.25">
      <c r="A25" s="16"/>
      <c r="C25" s="58"/>
      <c r="N25" s="64"/>
      <c r="O25" s="16"/>
      <c r="P25" s="60" t="s">
        <v>72</v>
      </c>
      <c r="Q25" s="76">
        <f>SUMPRODUCT(Q23:Q24,T23:T24)</f>
        <v>194.5</v>
      </c>
      <c r="R25" s="76">
        <f>SUMPRODUCT(R23:R24,T23:T24)</f>
        <v>194.50000000000003</v>
      </c>
      <c r="S25" s="47"/>
      <c r="T25" s="45"/>
      <c r="AD25" s="64"/>
    </row>
    <row r="26" spans="1:30" x14ac:dyDescent="0.25">
      <c r="A26" s="16"/>
      <c r="C26" s="92" t="s">
        <v>75</v>
      </c>
      <c r="D26" s="67" t="s">
        <v>74</v>
      </c>
      <c r="E26" s="67" t="s">
        <v>73</v>
      </c>
      <c r="N26" s="64"/>
      <c r="O26" s="16"/>
      <c r="P26" s="58"/>
      <c r="AD26" s="64"/>
    </row>
    <row r="27" spans="1:30" x14ac:dyDescent="0.25">
      <c r="A27" s="16"/>
      <c r="C27" s="92"/>
      <c r="D27" s="93">
        <v>43313</v>
      </c>
      <c r="E27" s="93"/>
      <c r="N27" s="64"/>
      <c r="O27" s="16"/>
      <c r="AD27" s="64"/>
    </row>
    <row r="28" spans="1:30" x14ac:dyDescent="0.25">
      <c r="A28" s="16"/>
      <c r="C28" s="42" t="s">
        <v>2</v>
      </c>
      <c r="D28" s="62">
        <v>1</v>
      </c>
      <c r="E28" s="62">
        <v>194.5</v>
      </c>
      <c r="N28" s="64"/>
      <c r="O28" s="16"/>
      <c r="AD28" s="64"/>
    </row>
    <row r="29" spans="1:30" x14ac:dyDescent="0.25">
      <c r="A29" s="16"/>
      <c r="C29" s="60" t="s">
        <v>72</v>
      </c>
      <c r="D29" s="91">
        <f>(D28*E28)</f>
        <v>194.5</v>
      </c>
      <c r="E29" s="91"/>
      <c r="N29" s="64"/>
      <c r="O29" s="16"/>
      <c r="P29" s="2" t="s">
        <v>75</v>
      </c>
      <c r="Q29" s="62" t="s">
        <v>31</v>
      </c>
      <c r="R29" s="62" t="s">
        <v>31</v>
      </c>
      <c r="S29" s="62" t="s">
        <v>27</v>
      </c>
      <c r="T29" s="62" t="s">
        <v>31</v>
      </c>
      <c r="U29" s="62" t="s">
        <v>31</v>
      </c>
      <c r="V29" s="62" t="s">
        <v>27</v>
      </c>
      <c r="W29" s="75"/>
      <c r="AD29" s="64"/>
    </row>
    <row r="30" spans="1:30" x14ac:dyDescent="0.25">
      <c r="A30" s="16"/>
      <c r="C30" s="58"/>
      <c r="N30" s="64"/>
      <c r="O30" s="16"/>
      <c r="P30" s="42" t="s">
        <v>5</v>
      </c>
      <c r="Q30" s="54">
        <f>J13/N13</f>
        <v>1</v>
      </c>
      <c r="R30" s="53">
        <f>J13/N14</f>
        <v>0.96</v>
      </c>
      <c r="S30" s="53">
        <f>J13/N15</f>
        <v>0.77419354838709675</v>
      </c>
      <c r="T30" s="54">
        <v>198</v>
      </c>
      <c r="U30" s="53">
        <v>198</v>
      </c>
      <c r="V30" s="52">
        <v>198</v>
      </c>
      <c r="AC30" s="64"/>
    </row>
    <row r="31" spans="1:30" x14ac:dyDescent="0.25">
      <c r="A31" s="16"/>
      <c r="C31" s="104" t="s">
        <v>75</v>
      </c>
      <c r="D31" s="101" t="s">
        <v>78</v>
      </c>
      <c r="E31" s="102"/>
      <c r="F31" s="102"/>
      <c r="G31" s="103"/>
      <c r="H31" s="101" t="s">
        <v>77</v>
      </c>
      <c r="I31" s="102"/>
      <c r="J31" s="102"/>
      <c r="K31" s="103"/>
      <c r="N31" s="64"/>
      <c r="O31" s="16"/>
      <c r="P31" s="42" t="s">
        <v>5</v>
      </c>
      <c r="Q31" s="51" t="s">
        <v>76</v>
      </c>
      <c r="R31">
        <f>J14/N14</f>
        <v>0.04</v>
      </c>
      <c r="S31">
        <f>J14/N15</f>
        <v>3.2258064516129031E-2</v>
      </c>
      <c r="T31" s="51"/>
      <c r="U31">
        <v>198</v>
      </c>
      <c r="V31" s="50">
        <v>198</v>
      </c>
      <c r="AC31" s="64"/>
    </row>
    <row r="32" spans="1:30" x14ac:dyDescent="0.25">
      <c r="A32" s="16"/>
      <c r="C32" s="105"/>
      <c r="D32" s="73">
        <v>43374</v>
      </c>
      <c r="E32" s="73">
        <v>43374</v>
      </c>
      <c r="F32" s="73">
        <v>43525</v>
      </c>
      <c r="G32" s="73">
        <v>43525</v>
      </c>
      <c r="H32" s="73">
        <v>43374</v>
      </c>
      <c r="I32" s="73">
        <v>43374</v>
      </c>
      <c r="J32" s="73">
        <v>43525</v>
      </c>
      <c r="K32" s="73">
        <v>43525</v>
      </c>
      <c r="N32" s="64"/>
      <c r="O32" s="16"/>
      <c r="P32" s="42" t="s">
        <v>5</v>
      </c>
      <c r="Q32" s="51" t="s">
        <v>76</v>
      </c>
      <c r="R32" t="s">
        <v>76</v>
      </c>
      <c r="S32">
        <f>J15/N15</f>
        <v>0.19354838709677419</v>
      </c>
      <c r="T32" s="51"/>
      <c r="V32" s="50">
        <v>201</v>
      </c>
      <c r="AC32" s="64"/>
    </row>
    <row r="33" spans="1:30" x14ac:dyDescent="0.25">
      <c r="A33" s="16"/>
      <c r="C33" s="42" t="s">
        <v>32</v>
      </c>
      <c r="D33" s="56">
        <f>J4/N4</f>
        <v>1</v>
      </c>
      <c r="E33" s="56">
        <f>$J4/$N5</f>
        <v>0.96</v>
      </c>
      <c r="F33" s="56">
        <f>$J4/$N6</f>
        <v>0.77419354838709675</v>
      </c>
      <c r="G33" s="56">
        <f>$J4/$N7</f>
        <v>0.77005347593582885</v>
      </c>
      <c r="H33" s="54">
        <v>198</v>
      </c>
      <c r="I33" s="53">
        <v>198</v>
      </c>
      <c r="J33" s="53">
        <v>198</v>
      </c>
      <c r="K33" s="52">
        <v>198</v>
      </c>
      <c r="N33" s="64"/>
      <c r="O33" s="16"/>
      <c r="P33" s="60" t="s">
        <v>72</v>
      </c>
      <c r="Q33" s="72">
        <f>SUMPRODUCT(Q30:Q32,T30:T32)</f>
        <v>198</v>
      </c>
      <c r="R33" s="72">
        <f>SUMPRODUCT(R30:R32,U30:U32)</f>
        <v>197.99999999999997</v>
      </c>
      <c r="S33" s="72">
        <f>SUMPRODUCT(S30:S32,V30:V32)</f>
        <v>198.58064516129031</v>
      </c>
      <c r="T33" s="47"/>
      <c r="U33" s="46"/>
      <c r="V33" s="45"/>
      <c r="AC33" s="64"/>
    </row>
    <row r="34" spans="1:30" x14ac:dyDescent="0.25">
      <c r="A34" s="16"/>
      <c r="C34" s="42" t="s">
        <v>32</v>
      </c>
      <c r="D34" s="20" t="s">
        <v>76</v>
      </c>
      <c r="E34" s="20">
        <f>J5/N5</f>
        <v>0.04</v>
      </c>
      <c r="F34" s="20">
        <f>$J5/$N6</f>
        <v>3.2258064516129031E-2</v>
      </c>
      <c r="G34" s="20">
        <f>$J5/$N7</f>
        <v>3.2085561497326207E-2</v>
      </c>
      <c r="H34" s="51"/>
      <c r="I34">
        <v>198</v>
      </c>
      <c r="J34">
        <v>198</v>
      </c>
      <c r="K34" s="50">
        <v>198</v>
      </c>
      <c r="N34" s="64"/>
      <c r="O34" s="16"/>
      <c r="AD34" s="64"/>
    </row>
    <row r="35" spans="1:30" x14ac:dyDescent="0.25">
      <c r="A35" s="16"/>
      <c r="C35" s="42" t="s">
        <v>32</v>
      </c>
      <c r="D35" s="20" t="s">
        <v>76</v>
      </c>
      <c r="E35" s="20" t="s">
        <v>76</v>
      </c>
      <c r="F35" s="20">
        <f>$J6/$N6</f>
        <v>0.19354838709677419</v>
      </c>
      <c r="G35" s="20">
        <f>$J6/$N7</f>
        <v>0.19251336898395721</v>
      </c>
      <c r="H35" s="51"/>
      <c r="J35">
        <v>215</v>
      </c>
      <c r="K35" s="50">
        <v>215</v>
      </c>
      <c r="N35" s="64"/>
      <c r="O35" s="16"/>
      <c r="P35" s="92" t="s">
        <v>75</v>
      </c>
      <c r="Q35" s="67" t="s">
        <v>74</v>
      </c>
      <c r="R35" s="67" t="s">
        <v>73</v>
      </c>
      <c r="AD35" s="64"/>
    </row>
    <row r="36" spans="1:30" x14ac:dyDescent="0.25">
      <c r="A36" s="16"/>
      <c r="C36" s="42" t="s">
        <v>32</v>
      </c>
      <c r="D36" s="20" t="s">
        <v>76</v>
      </c>
      <c r="E36" s="20" t="s">
        <v>76</v>
      </c>
      <c r="F36" s="20" t="s">
        <v>76</v>
      </c>
      <c r="G36" s="20">
        <f>J7/N7</f>
        <v>5.3475935828877002E-3</v>
      </c>
      <c r="H36" s="51"/>
      <c r="K36" s="50">
        <v>218</v>
      </c>
      <c r="N36" s="64"/>
      <c r="O36" s="16"/>
      <c r="P36" s="92"/>
      <c r="Q36" s="94" t="s">
        <v>34</v>
      </c>
      <c r="R36" s="94"/>
      <c r="AD36" s="64"/>
    </row>
    <row r="37" spans="1:30" x14ac:dyDescent="0.25">
      <c r="A37" s="16"/>
      <c r="C37" s="60" t="s">
        <v>72</v>
      </c>
      <c r="D37" s="61">
        <f>SUMPRODUCT(D33:D36,H33:H36)</f>
        <v>198</v>
      </c>
      <c r="E37" s="61">
        <f>SUMPRODUCT(E33:E36,I33:I36)</f>
        <v>197.99999999999997</v>
      </c>
      <c r="F37" s="61">
        <f>SUMPRODUCT(F33:F36,J33:J36)</f>
        <v>201.29032258064512</v>
      </c>
      <c r="G37" s="71">
        <f>SUMPRODUCT(G33:G36,K33:K36)</f>
        <v>201.37967914438499</v>
      </c>
      <c r="H37" s="47"/>
      <c r="I37" s="46"/>
      <c r="J37" s="46"/>
      <c r="K37" s="45"/>
      <c r="N37" s="64"/>
      <c r="O37" s="16"/>
      <c r="P37" s="42" t="s">
        <v>2</v>
      </c>
      <c r="Q37" s="62">
        <v>1</v>
      </c>
      <c r="R37" s="62">
        <v>200</v>
      </c>
      <c r="AD37" s="64"/>
    </row>
    <row r="38" spans="1:30" x14ac:dyDescent="0.25">
      <c r="A38" s="16"/>
      <c r="N38" s="64"/>
      <c r="O38" s="16"/>
      <c r="P38" s="60" t="s">
        <v>72</v>
      </c>
      <c r="Q38" s="99">
        <f>(Q37*R37)</f>
        <v>200</v>
      </c>
      <c r="R38" s="100"/>
      <c r="AD38" s="64"/>
    </row>
    <row r="39" spans="1:30" x14ac:dyDescent="0.25">
      <c r="A39" s="16"/>
      <c r="C39" s="92" t="s">
        <v>75</v>
      </c>
      <c r="D39" s="70" t="s">
        <v>74</v>
      </c>
      <c r="E39" s="70" t="s">
        <v>73</v>
      </c>
      <c r="N39" s="64"/>
      <c r="O39" s="16"/>
      <c r="AD39" s="64"/>
    </row>
    <row r="40" spans="1:30" x14ac:dyDescent="0.25">
      <c r="A40" s="16"/>
      <c r="C40" s="92"/>
      <c r="D40" s="93">
        <v>43435</v>
      </c>
      <c r="E40" s="93"/>
      <c r="N40" s="64"/>
      <c r="O40" s="16"/>
      <c r="P40" s="92" t="s">
        <v>75</v>
      </c>
      <c r="Q40" s="67" t="s">
        <v>74</v>
      </c>
      <c r="R40" s="67" t="s">
        <v>73</v>
      </c>
      <c r="AD40" s="64"/>
    </row>
    <row r="41" spans="1:30" x14ac:dyDescent="0.25">
      <c r="A41" s="16"/>
      <c r="C41" s="42" t="s">
        <v>4</v>
      </c>
      <c r="D41" s="62">
        <v>1</v>
      </c>
      <c r="E41" s="62">
        <v>206</v>
      </c>
      <c r="N41" s="64"/>
      <c r="O41" s="16"/>
      <c r="P41" s="92"/>
      <c r="Q41" s="94" t="s">
        <v>39</v>
      </c>
      <c r="R41" s="94"/>
      <c r="AD41" s="64"/>
    </row>
    <row r="42" spans="1:30" x14ac:dyDescent="0.25">
      <c r="A42" s="16"/>
      <c r="C42" s="60" t="s">
        <v>72</v>
      </c>
      <c r="D42" s="91">
        <f>(D41*E41)</f>
        <v>206</v>
      </c>
      <c r="E42" s="91"/>
      <c r="N42" s="64"/>
      <c r="O42" s="16"/>
      <c r="P42" s="42" t="s">
        <v>3</v>
      </c>
      <c r="Q42" s="62">
        <v>1</v>
      </c>
      <c r="R42" s="62">
        <v>201</v>
      </c>
      <c r="AD42" s="64"/>
    </row>
    <row r="43" spans="1:30" x14ac:dyDescent="0.25">
      <c r="A43" s="16"/>
      <c r="N43" s="64"/>
      <c r="O43" s="16"/>
      <c r="P43" s="60" t="s">
        <v>72</v>
      </c>
      <c r="Q43" s="99">
        <f>Q42*R42</f>
        <v>201</v>
      </c>
      <c r="R43" s="100"/>
      <c r="AD43" s="64"/>
    </row>
    <row r="44" spans="1:30" x14ac:dyDescent="0.25">
      <c r="A44" s="16"/>
      <c r="N44" s="64"/>
      <c r="O44" s="16"/>
      <c r="AD44" s="64"/>
    </row>
    <row r="45" spans="1:30" x14ac:dyDescent="0.25">
      <c r="A45" s="16"/>
      <c r="C45" s="97" t="s">
        <v>75</v>
      </c>
      <c r="D45" s="96" t="s">
        <v>74</v>
      </c>
      <c r="E45" s="96"/>
      <c r="F45" s="96" t="s">
        <v>73</v>
      </c>
      <c r="G45" s="96"/>
      <c r="N45" s="64"/>
      <c r="O45" s="16"/>
      <c r="AD45" s="64"/>
    </row>
    <row r="46" spans="1:30" x14ac:dyDescent="0.25">
      <c r="A46" s="16"/>
      <c r="C46" s="98"/>
      <c r="D46" s="68">
        <v>43435</v>
      </c>
      <c r="E46" s="68">
        <v>43525</v>
      </c>
      <c r="F46" s="68">
        <v>43435</v>
      </c>
      <c r="G46" s="68">
        <v>43525</v>
      </c>
      <c r="N46" s="64"/>
      <c r="O46" s="16"/>
      <c r="P46" s="92" t="s">
        <v>75</v>
      </c>
      <c r="Q46" s="67" t="s">
        <v>74</v>
      </c>
      <c r="R46" s="67" t="s">
        <v>73</v>
      </c>
      <c r="AD46" s="64"/>
    </row>
    <row r="47" spans="1:30" x14ac:dyDescent="0.25">
      <c r="A47" s="16"/>
      <c r="C47" s="42" t="s">
        <v>5</v>
      </c>
      <c r="D47" s="54">
        <v>1</v>
      </c>
      <c r="E47" s="52">
        <f>J9/N10</f>
        <v>0.34545454545454546</v>
      </c>
      <c r="F47" s="54">
        <v>210</v>
      </c>
      <c r="G47" s="66">
        <v>210</v>
      </c>
      <c r="N47" s="64"/>
      <c r="O47" s="16"/>
      <c r="P47" s="92"/>
      <c r="Q47" s="94" t="s">
        <v>34</v>
      </c>
      <c r="R47" s="94"/>
      <c r="AD47" s="64"/>
    </row>
    <row r="48" spans="1:30" x14ac:dyDescent="0.25">
      <c r="C48" s="42" t="s">
        <v>5</v>
      </c>
      <c r="D48" s="51"/>
      <c r="E48" s="50">
        <f>J10/N10</f>
        <v>0.65454545454545454</v>
      </c>
      <c r="F48" s="51"/>
      <c r="G48" s="63">
        <v>216</v>
      </c>
      <c r="P48" s="42" t="s">
        <v>4</v>
      </c>
      <c r="Q48" s="62">
        <v>1</v>
      </c>
      <c r="R48" s="62">
        <v>203</v>
      </c>
    </row>
    <row r="49" spans="3:23" x14ac:dyDescent="0.25">
      <c r="C49" s="60" t="s">
        <v>72</v>
      </c>
      <c r="D49" s="61">
        <f>SUMPRODUCT(D47:D48,F47:F48)</f>
        <v>210</v>
      </c>
      <c r="E49" s="61">
        <f>SUMPRODUCT(E47:E48,G47:G48)</f>
        <v>213.92727272727274</v>
      </c>
      <c r="F49" s="47"/>
      <c r="G49" s="45"/>
      <c r="P49" s="60" t="s">
        <v>72</v>
      </c>
      <c r="Q49" s="99">
        <f>Q48*R48</f>
        <v>203</v>
      </c>
      <c r="R49" s="100"/>
    </row>
    <row r="51" spans="3:23" x14ac:dyDescent="0.25">
      <c r="C51" s="106" t="s">
        <v>81</v>
      </c>
      <c r="D51" s="106"/>
      <c r="E51" s="106"/>
      <c r="F51" s="106"/>
      <c r="G51" s="106"/>
      <c r="H51" s="106"/>
      <c r="P51" s="106" t="s">
        <v>71</v>
      </c>
      <c r="Q51" s="106"/>
      <c r="R51" s="106"/>
      <c r="S51" s="106"/>
      <c r="T51" s="106"/>
      <c r="U51" s="106"/>
    </row>
    <row r="52" spans="3:23" x14ac:dyDescent="0.25">
      <c r="C52" s="106"/>
      <c r="D52" s="106"/>
      <c r="E52" s="106"/>
      <c r="F52" s="106"/>
      <c r="G52" s="106"/>
      <c r="H52" s="106"/>
      <c r="P52" s="106"/>
      <c r="Q52" s="106"/>
      <c r="R52" s="106"/>
      <c r="S52" s="106"/>
      <c r="T52" s="106"/>
      <c r="U52" s="106"/>
    </row>
    <row r="53" spans="3:23" x14ac:dyDescent="0.25">
      <c r="C53" s="42" t="s">
        <v>70</v>
      </c>
      <c r="D53" s="59">
        <v>43313</v>
      </c>
      <c r="E53" s="59">
        <v>43374</v>
      </c>
      <c r="F53" s="59">
        <v>43435</v>
      </c>
      <c r="G53" s="59">
        <v>43525</v>
      </c>
      <c r="H53" s="59">
        <v>43556</v>
      </c>
      <c r="P53" s="42" t="s">
        <v>70</v>
      </c>
      <c r="Q53" s="59">
        <v>43313</v>
      </c>
      <c r="R53" s="59">
        <v>43374</v>
      </c>
      <c r="S53" s="59">
        <v>43525</v>
      </c>
      <c r="T53" s="59">
        <v>43556</v>
      </c>
      <c r="U53" s="59">
        <v>43586</v>
      </c>
      <c r="W53" s="58"/>
    </row>
    <row r="54" spans="3:23" x14ac:dyDescent="0.25">
      <c r="C54" s="44" t="s">
        <v>28</v>
      </c>
      <c r="D54" s="57">
        <f>D24</f>
        <v>194.5</v>
      </c>
      <c r="E54" s="56">
        <f>D29</f>
        <v>194.5</v>
      </c>
      <c r="F54" s="56">
        <f>D24</f>
        <v>194.5</v>
      </c>
      <c r="G54" s="56">
        <f>D24</f>
        <v>194.5</v>
      </c>
      <c r="H54" s="55">
        <f>D24</f>
        <v>194.5</v>
      </c>
      <c r="P54" s="44" t="s">
        <v>32</v>
      </c>
      <c r="Q54" s="57">
        <f>R25</f>
        <v>194.50000000000003</v>
      </c>
      <c r="R54" s="56">
        <f>$R$25</f>
        <v>194.50000000000003</v>
      </c>
      <c r="S54" s="56">
        <f>$R$25</f>
        <v>194.50000000000003</v>
      </c>
      <c r="T54" s="56">
        <f>$R$25</f>
        <v>194.50000000000003</v>
      </c>
      <c r="U54" s="55">
        <f>$R$25</f>
        <v>194.50000000000003</v>
      </c>
      <c r="W54" s="49"/>
    </row>
    <row r="55" spans="3:23" x14ac:dyDescent="0.25">
      <c r="C55" s="44" t="s">
        <v>2</v>
      </c>
      <c r="D55" s="36">
        <f>D29</f>
        <v>194.5</v>
      </c>
      <c r="E55" s="20">
        <f>D24</f>
        <v>194.5</v>
      </c>
      <c r="F55" s="20">
        <f>D29</f>
        <v>194.5</v>
      </c>
      <c r="G55" s="20">
        <f>D29</f>
        <v>194.5</v>
      </c>
      <c r="H55" s="48">
        <f>D29</f>
        <v>194.5</v>
      </c>
      <c r="P55" s="44" t="s">
        <v>5</v>
      </c>
      <c r="Q55" s="36"/>
      <c r="R55" s="20">
        <f>$R$33</f>
        <v>197.99999999999997</v>
      </c>
      <c r="S55" s="20">
        <f>$R$33</f>
        <v>197.99999999999997</v>
      </c>
      <c r="T55" s="20">
        <f>$S$33</f>
        <v>198.58064516129031</v>
      </c>
      <c r="U55" s="48">
        <f>$S$33</f>
        <v>198.58064516129031</v>
      </c>
      <c r="W55" s="49"/>
    </row>
    <row r="56" spans="3:23" x14ac:dyDescent="0.25">
      <c r="C56" s="44" t="s">
        <v>32</v>
      </c>
      <c r="D56" s="36"/>
      <c r="E56" s="20">
        <f>E37</f>
        <v>197.99999999999997</v>
      </c>
      <c r="F56" s="20">
        <f>E37</f>
        <v>197.99999999999997</v>
      </c>
      <c r="G56" s="20">
        <f>G37</f>
        <v>201.37967914438499</v>
      </c>
      <c r="H56" s="48">
        <f>G37</f>
        <v>201.37967914438499</v>
      </c>
      <c r="P56" s="44" t="s">
        <v>2</v>
      </c>
      <c r="Q56" s="36"/>
      <c r="R56" s="20"/>
      <c r="S56" s="20">
        <f>$Q$38</f>
        <v>200</v>
      </c>
      <c r="T56" s="20">
        <f>$Q$38</f>
        <v>200</v>
      </c>
      <c r="U56" s="48">
        <f>$Q$38</f>
        <v>200</v>
      </c>
      <c r="W56" s="49"/>
    </row>
    <row r="57" spans="3:23" x14ac:dyDescent="0.25">
      <c r="C57" s="44" t="s">
        <v>4</v>
      </c>
      <c r="D57" s="36"/>
      <c r="E57" s="20"/>
      <c r="F57" s="20">
        <v>206</v>
      </c>
      <c r="G57" s="20">
        <f>D42</f>
        <v>206</v>
      </c>
      <c r="H57" s="48">
        <f>D42</f>
        <v>206</v>
      </c>
      <c r="P57" s="44" t="s">
        <v>3</v>
      </c>
      <c r="Q57" s="36"/>
      <c r="R57" s="20"/>
      <c r="S57" s="20"/>
      <c r="T57" s="20"/>
      <c r="U57" s="48">
        <f>Q43</f>
        <v>201</v>
      </c>
      <c r="W57" s="49"/>
    </row>
    <row r="58" spans="3:23" x14ac:dyDescent="0.25">
      <c r="C58" s="44" t="s">
        <v>5</v>
      </c>
      <c r="D58" s="36"/>
      <c r="E58" s="20"/>
      <c r="F58" s="20">
        <v>210</v>
      </c>
      <c r="G58" s="20">
        <f>E49</f>
        <v>213.92727272727274</v>
      </c>
      <c r="H58" s="48">
        <f>E49</f>
        <v>213.92727272727274</v>
      </c>
      <c r="P58" s="44" t="s">
        <v>4</v>
      </c>
      <c r="Q58" s="85"/>
      <c r="R58" s="86"/>
      <c r="S58" s="86">
        <f>$Q$49</f>
        <v>203</v>
      </c>
      <c r="T58" s="86">
        <f>$Q$49</f>
        <v>203</v>
      </c>
      <c r="U58" s="87">
        <f>$Q$49</f>
        <v>203</v>
      </c>
    </row>
    <row r="59" spans="3:23" x14ac:dyDescent="0.25">
      <c r="C59" s="44" t="s">
        <v>69</v>
      </c>
      <c r="D59" s="43">
        <f>D55</f>
        <v>194.5</v>
      </c>
      <c r="E59" s="43">
        <f>E55</f>
        <v>194.5</v>
      </c>
      <c r="F59" s="43">
        <f>F56</f>
        <v>197.99999999999997</v>
      </c>
      <c r="G59" s="43">
        <f>G56</f>
        <v>201.37967914438499</v>
      </c>
      <c r="H59" s="43">
        <f>H56</f>
        <v>201.37967914438499</v>
      </c>
      <c r="P59" s="44" t="s">
        <v>69</v>
      </c>
      <c r="Q59" s="88">
        <f>Q54</f>
        <v>194.50000000000003</v>
      </c>
      <c r="R59" s="88">
        <f>AVERAGE(R54:R55)</f>
        <v>196.25</v>
      </c>
      <c r="S59" s="88">
        <f>AVERAGE(S55:S56)</f>
        <v>199</v>
      </c>
      <c r="T59" s="88">
        <f>AVERAGE(T55:T56)</f>
        <v>199.29032258064515</v>
      </c>
      <c r="U59" s="88">
        <f>U56</f>
        <v>200</v>
      </c>
    </row>
    <row r="60" spans="3:23" x14ac:dyDescent="0.25">
      <c r="C60" s="42" t="s">
        <v>68</v>
      </c>
      <c r="D60" s="43">
        <f>(ABS(D54-D59)+ABS(D55-D59))/2</f>
        <v>0</v>
      </c>
      <c r="E60" s="43">
        <f>(ABS(E54-E59)+ABS(E55-E59)+ABS(E56-E59))/3</f>
        <v>1.1666666666666572</v>
      </c>
      <c r="F60" s="43">
        <f>(ABS(F54-F59)+ABS(F55-F59)+ABS(F56-F59)+ABS(F57-F59)+ABS(F58-F59))/5</f>
        <v>5.4</v>
      </c>
      <c r="G60" s="43">
        <f>(ABS(G54-G59)+ABS(G55-G59)+ABS(G56-G59)+ABS(G57-G59)+ABS(G58-G59))/5</f>
        <v>6.1854545454545473</v>
      </c>
      <c r="H60" s="43">
        <f>(ABS(H54-H59)+ABS(H55-H59)+ABS(H56-H59)+ABS(H57-H59)+ABS(H58-H59))/5</f>
        <v>6.1854545454545473</v>
      </c>
      <c r="P60" s="42" t="s">
        <v>68</v>
      </c>
      <c r="Q60" s="43">
        <v>0</v>
      </c>
      <c r="R60" s="43">
        <f>(ABS(R54-R59)+ABS(R55-R59))/2</f>
        <v>1.7499999999999716</v>
      </c>
      <c r="S60" s="43">
        <f>(ABS(S54-S59)+ABS(S55-S59)+ABS(S56-S59)+ABS(S58-S59))/4</f>
        <v>2.625</v>
      </c>
      <c r="T60" s="43">
        <f>(ABS(T54-T59)+ABS(T55-T59)+ABS(T56-T59)+ABS(T58-T59))/4</f>
        <v>2.4798387096774164</v>
      </c>
      <c r="U60" s="43">
        <f>(ABS(U54-U59)+ABS(U55-U59)+ABS(U56-U59)+ABS(U57-U59)+ABS(U58-U59))/5</f>
        <v>2.183870967741933</v>
      </c>
    </row>
    <row r="61" spans="3:23" x14ac:dyDescent="0.25">
      <c r="C61" s="40" t="s">
        <v>67</v>
      </c>
      <c r="D61" s="41">
        <f>D59-D60</f>
        <v>194.5</v>
      </c>
      <c r="E61" s="41">
        <f>E59-E60</f>
        <v>193.33333333333334</v>
      </c>
      <c r="F61" s="41">
        <f>F59-F60</f>
        <v>192.59999999999997</v>
      </c>
      <c r="G61" s="41">
        <f>G59-G60</f>
        <v>195.19422459893045</v>
      </c>
      <c r="H61" s="41">
        <f>H59-H60</f>
        <v>195.19422459893045</v>
      </c>
      <c r="P61" s="40" t="s">
        <v>67</v>
      </c>
      <c r="Q61" s="41">
        <f>Q59-Q60</f>
        <v>194.50000000000003</v>
      </c>
      <c r="R61" s="41">
        <f>R59-R60</f>
        <v>194.50000000000003</v>
      </c>
      <c r="S61" s="41">
        <f>S59-S60</f>
        <v>196.375</v>
      </c>
      <c r="T61" s="41">
        <f>T59-T60</f>
        <v>196.81048387096774</v>
      </c>
      <c r="U61" s="41">
        <f>U59-U60</f>
        <v>197.81612903225806</v>
      </c>
    </row>
    <row r="62" spans="3:23" x14ac:dyDescent="0.25">
      <c r="C62" s="40" t="s">
        <v>66</v>
      </c>
      <c r="D62" s="41">
        <f>D59+D60</f>
        <v>194.5</v>
      </c>
      <c r="E62" s="41">
        <f>E59+E60</f>
        <v>195.66666666666666</v>
      </c>
      <c r="F62" s="41">
        <f>F59+F60</f>
        <v>203.39999999999998</v>
      </c>
      <c r="G62" s="41">
        <f>G59+G60</f>
        <v>207.56513368983954</v>
      </c>
      <c r="H62" s="41">
        <f>H59+H60</f>
        <v>207.56513368983954</v>
      </c>
      <c r="P62" s="40" t="s">
        <v>66</v>
      </c>
      <c r="Q62" s="41">
        <f>Q59+Q60</f>
        <v>194.50000000000003</v>
      </c>
      <c r="R62" s="41">
        <f>R59+R60</f>
        <v>197.99999999999997</v>
      </c>
      <c r="S62" s="41">
        <f>S59+S60</f>
        <v>201.625</v>
      </c>
      <c r="T62" s="41">
        <f>T59+T60</f>
        <v>201.77016129032256</v>
      </c>
      <c r="U62" s="41">
        <f>U59+U60</f>
        <v>202.18387096774194</v>
      </c>
    </row>
    <row r="69" spans="4:12" x14ac:dyDescent="0.25">
      <c r="D69" s="17"/>
      <c r="E69" s="17"/>
      <c r="F69" s="17"/>
      <c r="G69" s="17"/>
      <c r="H69" s="17"/>
      <c r="I69" s="17"/>
      <c r="J69" s="17"/>
      <c r="K69" s="17"/>
      <c r="L69" s="17"/>
    </row>
    <row r="70" spans="4:12" x14ac:dyDescent="0.25">
      <c r="D70" s="17"/>
      <c r="E70" s="83"/>
      <c r="F70" s="83"/>
      <c r="G70" s="83"/>
      <c r="H70" s="83"/>
      <c r="I70" s="83"/>
      <c r="J70" s="17"/>
      <c r="K70" s="17"/>
      <c r="L70" s="17"/>
    </row>
    <row r="71" spans="4:12" x14ac:dyDescent="0.25">
      <c r="D71" s="17"/>
      <c r="E71" s="17"/>
      <c r="F71" s="17"/>
      <c r="G71" s="17"/>
      <c r="H71" s="17"/>
      <c r="I71" s="17"/>
      <c r="J71" s="17"/>
      <c r="K71" s="17"/>
      <c r="L71" s="17"/>
    </row>
    <row r="72" spans="4:12" x14ac:dyDescent="0.25">
      <c r="D72" s="17"/>
      <c r="E72" s="17"/>
      <c r="F72" s="17"/>
      <c r="G72" s="17"/>
      <c r="H72" s="17"/>
      <c r="I72" s="17"/>
      <c r="J72" s="17"/>
      <c r="K72" s="17"/>
      <c r="L72" s="17"/>
    </row>
    <row r="73" spans="4:12" x14ac:dyDescent="0.25">
      <c r="D73" s="17"/>
      <c r="E73" s="17"/>
      <c r="F73" s="17"/>
      <c r="G73" s="17"/>
      <c r="H73" s="17"/>
      <c r="I73" s="17"/>
      <c r="J73" s="17"/>
      <c r="K73" s="17"/>
      <c r="L73" s="17"/>
    </row>
    <row r="74" spans="4:12" x14ac:dyDescent="0.25">
      <c r="D74" s="17"/>
      <c r="E74" s="17"/>
      <c r="F74" s="17"/>
      <c r="G74" s="17"/>
      <c r="H74" s="17"/>
      <c r="I74" s="17"/>
      <c r="J74" s="17"/>
      <c r="K74" s="17"/>
      <c r="L74" s="17"/>
    </row>
    <row r="75" spans="4:12" x14ac:dyDescent="0.25">
      <c r="D75" s="17"/>
      <c r="E75" s="17"/>
      <c r="F75" s="17"/>
      <c r="G75" s="17"/>
      <c r="H75" s="17"/>
      <c r="I75" s="17"/>
      <c r="J75" s="17"/>
      <c r="K75" s="17"/>
      <c r="L75" s="17"/>
    </row>
    <row r="76" spans="4:12" x14ac:dyDescent="0.25">
      <c r="D76" s="84"/>
      <c r="E76" s="26"/>
      <c r="F76" s="26"/>
      <c r="G76" s="26"/>
      <c r="H76" s="26"/>
      <c r="I76" s="26"/>
      <c r="J76" s="17"/>
      <c r="K76" s="17"/>
      <c r="L76" s="17"/>
    </row>
    <row r="77" spans="4:12" x14ac:dyDescent="0.25">
      <c r="D77" s="84"/>
      <c r="E77" s="26"/>
      <c r="F77" s="26"/>
      <c r="G77" s="26"/>
      <c r="H77" s="26"/>
      <c r="I77" s="26"/>
      <c r="J77" s="17"/>
      <c r="K77" s="17"/>
      <c r="L77" s="17"/>
    </row>
    <row r="78" spans="4:12" x14ac:dyDescent="0.25">
      <c r="D78" s="17"/>
      <c r="E78" s="17"/>
      <c r="F78" s="17"/>
      <c r="G78" s="17"/>
      <c r="H78" s="17"/>
      <c r="I78" s="17"/>
      <c r="J78" s="17"/>
      <c r="K78" s="17"/>
      <c r="L78" s="17"/>
    </row>
    <row r="79" spans="4:12" x14ac:dyDescent="0.25">
      <c r="D79" s="17"/>
      <c r="E79" s="17"/>
      <c r="F79" s="17"/>
      <c r="G79" s="17"/>
      <c r="H79" s="17"/>
      <c r="I79" s="17"/>
      <c r="J79" s="17"/>
      <c r="K79" s="17"/>
      <c r="L79" s="17"/>
    </row>
  </sheetData>
  <mergeCells count="28">
    <mergeCell ref="C51:H52"/>
    <mergeCell ref="P51:U52"/>
    <mergeCell ref="Q47:R47"/>
    <mergeCell ref="P35:P36"/>
    <mergeCell ref="P40:P41"/>
    <mergeCell ref="P46:P47"/>
    <mergeCell ref="Q38:R38"/>
    <mergeCell ref="Q43:R43"/>
    <mergeCell ref="C39:C40"/>
    <mergeCell ref="D40:E40"/>
    <mergeCell ref="X22:AA23"/>
    <mergeCell ref="D31:G31"/>
    <mergeCell ref="H31:K31"/>
    <mergeCell ref="C31:C32"/>
    <mergeCell ref="D29:E29"/>
    <mergeCell ref="D42:E42"/>
    <mergeCell ref="F45:G45"/>
    <mergeCell ref="D45:E45"/>
    <mergeCell ref="C45:C46"/>
    <mergeCell ref="Q49:R49"/>
    <mergeCell ref="D24:E24"/>
    <mergeCell ref="C21:C22"/>
    <mergeCell ref="D22:E22"/>
    <mergeCell ref="C26:C27"/>
    <mergeCell ref="Q41:R41"/>
    <mergeCell ref="Q36:R36"/>
    <mergeCell ref="D27:E27"/>
    <mergeCell ref="J21:M2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1423C-0614-4F9D-B93E-489348D10381}">
  <dimension ref="A1:AD79"/>
  <sheetViews>
    <sheetView showGridLines="0" tabSelected="1" topLeftCell="T47" zoomScale="115" zoomScaleNormal="115" workbookViewId="0">
      <selection activeCell="O63" sqref="O63"/>
    </sheetView>
  </sheetViews>
  <sheetFormatPr baseColWidth="10" defaultRowHeight="15" x14ac:dyDescent="0.25"/>
  <cols>
    <col min="1" max="1" width="23" hidden="1" customWidth="1"/>
    <col min="2" max="2" width="25.28515625" bestFit="1" customWidth="1"/>
    <col min="3" max="3" width="17" customWidth="1"/>
    <col min="4" max="7" width="13.5703125" bestFit="1" customWidth="1"/>
    <col min="8" max="8" width="13.140625" bestFit="1" customWidth="1"/>
    <col min="9" max="9" width="11.85546875" bestFit="1" customWidth="1"/>
    <col min="10" max="10" width="11.42578125" customWidth="1"/>
    <col min="11" max="11" width="12.42578125" bestFit="1" customWidth="1"/>
    <col min="12" max="12" width="22.85546875" bestFit="1" customWidth="1"/>
    <col min="13" max="13" width="8.42578125" customWidth="1"/>
    <col min="14" max="14" width="19.140625" customWidth="1"/>
    <col min="15" max="15" width="19" customWidth="1"/>
    <col min="16" max="16" width="17.7109375" customWidth="1"/>
    <col min="17" max="19" width="13.140625" bestFit="1" customWidth="1"/>
    <col min="20" max="21" width="13" bestFit="1" customWidth="1"/>
    <col min="22" max="22" width="10" bestFit="1" customWidth="1"/>
  </cols>
  <sheetData>
    <row r="1" spans="1:17" ht="60" x14ac:dyDescent="0.25">
      <c r="A1" s="82" t="s">
        <v>22</v>
      </c>
      <c r="B1" s="82" t="s">
        <v>21</v>
      </c>
      <c r="C1" s="82" t="s">
        <v>20</v>
      </c>
      <c r="D1" s="82" t="s">
        <v>19</v>
      </c>
      <c r="E1" s="82" t="s">
        <v>18</v>
      </c>
      <c r="F1" s="82" t="s">
        <v>17</v>
      </c>
      <c r="G1" s="82" t="s">
        <v>16</v>
      </c>
      <c r="H1" s="82" t="s">
        <v>15</v>
      </c>
      <c r="I1" s="82" t="s">
        <v>14</v>
      </c>
      <c r="J1" s="82" t="s">
        <v>13</v>
      </c>
      <c r="K1" s="82" t="s">
        <v>12</v>
      </c>
      <c r="L1" s="82" t="s">
        <v>11</v>
      </c>
      <c r="M1" s="82" t="s">
        <v>10</v>
      </c>
      <c r="N1" s="82" t="s">
        <v>9</v>
      </c>
      <c r="O1" s="82" t="s">
        <v>8</v>
      </c>
      <c r="P1" s="82" t="s">
        <v>7</v>
      </c>
      <c r="Q1" s="82" t="s">
        <v>6</v>
      </c>
    </row>
    <row r="2" spans="1:17" x14ac:dyDescent="0.25">
      <c r="A2" s="62">
        <v>43328</v>
      </c>
      <c r="B2" s="62" t="str">
        <f t="shared" ref="B2:B18" si="0">CONCATENATE(C2,"/",F2)</f>
        <v>Agosto-2018/Abril-2019</v>
      </c>
      <c r="C2" s="62" t="s">
        <v>24</v>
      </c>
      <c r="D2" s="62" t="str">
        <f t="shared" ref="D2:D18" si="1">+MID(E2,1,3)</f>
        <v>ELS</v>
      </c>
      <c r="E2" s="62" t="s">
        <v>26</v>
      </c>
      <c r="F2" s="62" t="str">
        <f>+VLOOKUP(E2,[1]Vencimientos!$D:$F,3,0)</f>
        <v>Abril-2019</v>
      </c>
      <c r="G2" s="62">
        <f>+VLOOKUP(E2,[1]Vencimientos!$D:$E,2,0)</f>
        <v>43588</v>
      </c>
      <c r="H2" s="62">
        <v>8</v>
      </c>
      <c r="I2" s="62">
        <v>194.5</v>
      </c>
      <c r="J2" s="62">
        <f>10000*H2</f>
        <v>80000</v>
      </c>
      <c r="K2" s="62">
        <f>+H2*I2*10000</f>
        <v>15560000</v>
      </c>
      <c r="L2" s="62" t="s">
        <v>1</v>
      </c>
      <c r="M2" s="62" t="s">
        <v>28</v>
      </c>
      <c r="N2" s="62">
        <f>SUMIFS($J$2:J2,$M$2:M2,M2,$F$2:F2,F2)</f>
        <v>80000</v>
      </c>
      <c r="O2" s="62">
        <f t="shared" ref="O2:O18" si="2">I2*J2</f>
        <v>15560000</v>
      </c>
      <c r="P2" s="62">
        <f>SUMIFS($O$2:O2,$M$2:M2,M2,$F$2:F2,F2)</f>
        <v>15560000</v>
      </c>
      <c r="Q2" s="62">
        <f t="shared" ref="Q2:Q18" si="3">P2/N2</f>
        <v>194.5</v>
      </c>
    </row>
    <row r="3" spans="1:17" x14ac:dyDescent="0.25">
      <c r="A3" s="62">
        <v>43328</v>
      </c>
      <c r="B3" s="62" t="str">
        <f t="shared" si="0"/>
        <v>Agosto-2018/Abril-2019</v>
      </c>
      <c r="C3" s="62" t="s">
        <v>24</v>
      </c>
      <c r="D3" s="62" t="str">
        <f t="shared" si="1"/>
        <v>ELM</v>
      </c>
      <c r="E3" s="62" t="s">
        <v>29</v>
      </c>
      <c r="F3" s="62" t="str">
        <f>+VLOOKUP(E3,[1]Vencimientos!$D:$F,3,0)</f>
        <v>Abril-2019</v>
      </c>
      <c r="G3" s="62">
        <f>+VLOOKUP(E3,[1]Vencimientos!$D:$E,2,0)</f>
        <v>43588</v>
      </c>
      <c r="H3" s="62">
        <v>1</v>
      </c>
      <c r="I3" s="62">
        <v>194.5</v>
      </c>
      <c r="J3" s="62">
        <f>360000*H3</f>
        <v>360000</v>
      </c>
      <c r="K3" s="62">
        <f>+H3*I3*360000</f>
        <v>70020000</v>
      </c>
      <c r="L3" s="62" t="s">
        <v>1</v>
      </c>
      <c r="M3" s="62" t="s">
        <v>2</v>
      </c>
      <c r="N3" s="62">
        <f>SUMIFS($J$2:J3,$M$2:M3,M3,$F$2:F3,F3)</f>
        <v>360000</v>
      </c>
      <c r="O3" s="62">
        <f t="shared" si="2"/>
        <v>70020000</v>
      </c>
      <c r="P3" s="62">
        <f>SUMIFS($O$2:O3,$M$2:M3,M3,$F$2:F3,F3)</f>
        <v>70020000</v>
      </c>
      <c r="Q3" s="62">
        <f t="shared" si="3"/>
        <v>194.5</v>
      </c>
    </row>
    <row r="4" spans="1:17" x14ac:dyDescent="0.25">
      <c r="A4" s="62">
        <v>43404</v>
      </c>
      <c r="B4" s="62" t="str">
        <f t="shared" si="0"/>
        <v>Octubre-2018/Abril-2019</v>
      </c>
      <c r="C4" s="62" t="s">
        <v>31</v>
      </c>
      <c r="D4" s="62" t="str">
        <f t="shared" si="1"/>
        <v>ELM</v>
      </c>
      <c r="E4" s="62" t="s">
        <v>29</v>
      </c>
      <c r="F4" s="62" t="str">
        <f>+VLOOKUP(E4,[1]Vencimientos!$D:$F,3,0)</f>
        <v>Abril-2019</v>
      </c>
      <c r="G4" s="62">
        <f>+VLOOKUP(E4,[1]Vencimientos!$D:$E,2,0)</f>
        <v>43588</v>
      </c>
      <c r="H4" s="62">
        <v>4</v>
      </c>
      <c r="I4" s="62">
        <v>198</v>
      </c>
      <c r="J4" s="62">
        <f>360000*H4</f>
        <v>1440000</v>
      </c>
      <c r="K4" s="62">
        <f>+H4*I4*360000</f>
        <v>285120000</v>
      </c>
      <c r="L4" s="62" t="s">
        <v>1</v>
      </c>
      <c r="M4" s="62" t="s">
        <v>32</v>
      </c>
      <c r="N4" s="62">
        <f>SUMIFS($J$2:J4,$M$2:M4,M4,$F$2:F4,F4)</f>
        <v>1440000</v>
      </c>
      <c r="O4" s="62">
        <f t="shared" si="2"/>
        <v>285120000</v>
      </c>
      <c r="P4" s="62">
        <f>SUMIFS($O$2:O4,$M$2:M4,M4,$F$2:F4,F4)</f>
        <v>285120000</v>
      </c>
      <c r="Q4" s="62">
        <f t="shared" si="3"/>
        <v>198</v>
      </c>
    </row>
    <row r="5" spans="1:17" x14ac:dyDescent="0.25">
      <c r="A5" s="62">
        <v>43404</v>
      </c>
      <c r="B5" s="62" t="str">
        <f t="shared" si="0"/>
        <v>Octubre-2018/Abril-2019</v>
      </c>
      <c r="C5" s="62" t="s">
        <v>31</v>
      </c>
      <c r="D5" s="62" t="str">
        <f t="shared" si="1"/>
        <v>ELS</v>
      </c>
      <c r="E5" s="62" t="s">
        <v>26</v>
      </c>
      <c r="F5" s="62" t="str">
        <f>+VLOOKUP(E5,[1]Vencimientos!$D:$F,3,0)</f>
        <v>Abril-2019</v>
      </c>
      <c r="G5" s="62">
        <f>+VLOOKUP(E5,[1]Vencimientos!$D:$E,2,0)</f>
        <v>43588</v>
      </c>
      <c r="H5" s="62">
        <v>6</v>
      </c>
      <c r="I5" s="62">
        <v>198</v>
      </c>
      <c r="J5" s="62">
        <f>10000*H5</f>
        <v>60000</v>
      </c>
      <c r="K5" s="62">
        <f>+H5*I5*10000</f>
        <v>11880000</v>
      </c>
      <c r="L5" s="62" t="s">
        <v>1</v>
      </c>
      <c r="M5" s="62" t="s">
        <v>32</v>
      </c>
      <c r="N5" s="62">
        <f>SUMIFS($J$2:J5,$M$2:M5,M5,$F$2:F5,F5)</f>
        <v>1500000</v>
      </c>
      <c r="O5" s="62">
        <f t="shared" si="2"/>
        <v>11880000</v>
      </c>
      <c r="P5" s="62">
        <f>SUMIFS($O$2:O5,$M$2:M5,M5,$F$2:F5,F5)</f>
        <v>297000000</v>
      </c>
      <c r="Q5" s="62">
        <f t="shared" si="3"/>
        <v>198</v>
      </c>
    </row>
    <row r="6" spans="1:17" x14ac:dyDescent="0.25">
      <c r="A6" s="62">
        <v>43532</v>
      </c>
      <c r="B6" s="62" t="str">
        <f t="shared" si="0"/>
        <v>Marzo-2019/Abril-2019</v>
      </c>
      <c r="C6" s="62" t="s">
        <v>34</v>
      </c>
      <c r="D6" s="62" t="str">
        <f t="shared" si="1"/>
        <v>ELM</v>
      </c>
      <c r="E6" s="62" t="s">
        <v>29</v>
      </c>
      <c r="F6" s="62" t="str">
        <f>+VLOOKUP(E6,[1]Vencimientos!$D:$F,3,0)</f>
        <v>Abril-2019</v>
      </c>
      <c r="G6" s="62">
        <f>+VLOOKUP(E6,[1]Vencimientos!$D:$E,2,0)</f>
        <v>43588</v>
      </c>
      <c r="H6" s="62">
        <v>1</v>
      </c>
      <c r="I6" s="62">
        <v>215</v>
      </c>
      <c r="J6" s="62">
        <f>360000*H6</f>
        <v>360000</v>
      </c>
      <c r="K6" s="62">
        <f>+H6*I6*360000</f>
        <v>77400000</v>
      </c>
      <c r="L6" s="62" t="s">
        <v>1</v>
      </c>
      <c r="M6" s="62" t="s">
        <v>32</v>
      </c>
      <c r="N6" s="62">
        <f>J6</f>
        <v>360000</v>
      </c>
      <c r="O6" s="62">
        <f t="shared" si="2"/>
        <v>77400000</v>
      </c>
      <c r="P6" s="62">
        <f>SUMIFS($O$2:O6,$M$2:M6,M6,$F$2:F6,F6)</f>
        <v>374400000</v>
      </c>
      <c r="Q6" s="62">
        <f t="shared" si="3"/>
        <v>1040</v>
      </c>
    </row>
    <row r="7" spans="1:17" x14ac:dyDescent="0.25">
      <c r="A7" s="62">
        <v>43532</v>
      </c>
      <c r="B7" s="62" t="str">
        <f t="shared" si="0"/>
        <v>Marzo-2019/Abril-2019</v>
      </c>
      <c r="C7" s="62" t="s">
        <v>34</v>
      </c>
      <c r="D7" s="62" t="str">
        <f t="shared" si="1"/>
        <v>ELS</v>
      </c>
      <c r="E7" s="62" t="s">
        <v>26</v>
      </c>
      <c r="F7" s="62" t="str">
        <f>+VLOOKUP(E7,[1]Vencimientos!$D:$F,3,0)</f>
        <v>Abril-2019</v>
      </c>
      <c r="G7" s="62">
        <f>+VLOOKUP(E7,[1]Vencimientos!$D:$E,2,0)</f>
        <v>43588</v>
      </c>
      <c r="H7" s="62">
        <v>1</v>
      </c>
      <c r="I7" s="62">
        <v>218</v>
      </c>
      <c r="J7" s="62">
        <f>10000*H7</f>
        <v>10000</v>
      </c>
      <c r="K7" s="62">
        <f>+H7*I7*10000</f>
        <v>2180000</v>
      </c>
      <c r="L7" s="62" t="s">
        <v>1</v>
      </c>
      <c r="M7" s="62" t="s">
        <v>32</v>
      </c>
      <c r="N7" s="62">
        <f>N6+J7</f>
        <v>370000</v>
      </c>
      <c r="O7" s="62">
        <f t="shared" si="2"/>
        <v>2180000</v>
      </c>
      <c r="P7" s="62">
        <f>SUMIFS($O$2:O7,$M$2:M7,M7,$F$2:F7,F7)</f>
        <v>376580000</v>
      </c>
      <c r="Q7" s="62">
        <f t="shared" si="3"/>
        <v>1017.7837837837837</v>
      </c>
    </row>
    <row r="8" spans="1:17" x14ac:dyDescent="0.25">
      <c r="A8" s="62">
        <v>43448</v>
      </c>
      <c r="B8" s="62" t="str">
        <f t="shared" si="0"/>
        <v>Diciembre-2018/Abril-2019</v>
      </c>
      <c r="C8" s="62" t="s">
        <v>36</v>
      </c>
      <c r="D8" s="62" t="str">
        <f t="shared" si="1"/>
        <v>ELM</v>
      </c>
      <c r="E8" s="62" t="s">
        <v>29</v>
      </c>
      <c r="F8" s="62" t="str">
        <f>+VLOOKUP(E8,[1]Vencimientos!$D:$F,3,0)</f>
        <v>Abril-2019</v>
      </c>
      <c r="G8" s="62">
        <f>+VLOOKUP(E8,[1]Vencimientos!$D:$E,2,0)</f>
        <v>43588</v>
      </c>
      <c r="H8" s="62">
        <v>6</v>
      </c>
      <c r="I8" s="62">
        <v>206</v>
      </c>
      <c r="J8" s="62">
        <f>360000*H8</f>
        <v>2160000</v>
      </c>
      <c r="K8" s="62">
        <f>+H8*I8*360000</f>
        <v>444960000</v>
      </c>
      <c r="L8" s="62" t="s">
        <v>1</v>
      </c>
      <c r="M8" s="62" t="s">
        <v>4</v>
      </c>
      <c r="N8" s="62">
        <f>SUMIFS($J$2:J8,$M$2:M8,M8,$F$2:F8,F8)</f>
        <v>2160000</v>
      </c>
      <c r="O8" s="62">
        <f t="shared" si="2"/>
        <v>444960000</v>
      </c>
      <c r="P8" s="62">
        <f>SUMIFS($O$2:O8,$M$2:M8,M8,$F$2:F8,F8)</f>
        <v>444960000</v>
      </c>
      <c r="Q8" s="62">
        <f t="shared" si="3"/>
        <v>206</v>
      </c>
    </row>
    <row r="9" spans="1:17" x14ac:dyDescent="0.25">
      <c r="A9" s="62">
        <v>43461</v>
      </c>
      <c r="B9" s="62" t="str">
        <f t="shared" si="0"/>
        <v>Diciembre-2018/Abril-2019</v>
      </c>
      <c r="C9" s="62" t="s">
        <v>36</v>
      </c>
      <c r="D9" s="62" t="str">
        <f t="shared" si="1"/>
        <v>ELS</v>
      </c>
      <c r="E9" s="62" t="s">
        <v>26</v>
      </c>
      <c r="F9" s="62" t="str">
        <f>+VLOOKUP(E9,[1]Vencimientos!$D:$F,3,0)</f>
        <v>Abril-2019</v>
      </c>
      <c r="G9" s="62">
        <f>+VLOOKUP(E9,[1]Vencimientos!$D:$E,2,0)</f>
        <v>43588</v>
      </c>
      <c r="H9" s="62">
        <v>19</v>
      </c>
      <c r="I9" s="62">
        <v>210</v>
      </c>
      <c r="J9" s="62">
        <f>10000*H9</f>
        <v>190000</v>
      </c>
      <c r="K9" s="62">
        <f>+H9*I9*10000</f>
        <v>39900000</v>
      </c>
      <c r="L9" s="62" t="s">
        <v>1</v>
      </c>
      <c r="M9" s="62" t="s">
        <v>5</v>
      </c>
      <c r="N9" s="62">
        <f>SUMIFS($J$2:J9,$M$2:M9,M9,$F$2:F9,F9)</f>
        <v>190000</v>
      </c>
      <c r="O9" s="62">
        <f t="shared" si="2"/>
        <v>39900000</v>
      </c>
      <c r="P9" s="62">
        <f>SUMIFS($O$2:O9,$M$2:M9,M9,$F$2:F9,F9)</f>
        <v>39900000</v>
      </c>
      <c r="Q9" s="62">
        <f t="shared" si="3"/>
        <v>210</v>
      </c>
    </row>
    <row r="10" spans="1:17" x14ac:dyDescent="0.25">
      <c r="A10" s="62">
        <v>43542</v>
      </c>
      <c r="B10" s="62" t="str">
        <f t="shared" si="0"/>
        <v>Marzo-2019/Abril-2019</v>
      </c>
      <c r="C10" s="62" t="s">
        <v>34</v>
      </c>
      <c r="D10" s="62" t="str">
        <f t="shared" si="1"/>
        <v>ELM</v>
      </c>
      <c r="E10" s="62" t="s">
        <v>29</v>
      </c>
      <c r="F10" s="62" t="str">
        <f>+VLOOKUP(E10,[1]Vencimientos!$D:$F,3,0)</f>
        <v>Abril-2019</v>
      </c>
      <c r="G10" s="62">
        <f>+VLOOKUP(E10,[1]Vencimientos!$D:$E,2,0)</f>
        <v>43588</v>
      </c>
      <c r="H10" s="62">
        <v>1</v>
      </c>
      <c r="I10" s="62">
        <v>216</v>
      </c>
      <c r="J10" s="62">
        <f>360000*H10</f>
        <v>360000</v>
      </c>
      <c r="K10" s="62">
        <f>+H10*I10*360000</f>
        <v>77760000</v>
      </c>
      <c r="L10" s="62" t="s">
        <v>1</v>
      </c>
      <c r="M10" s="62" t="s">
        <v>5</v>
      </c>
      <c r="N10" s="62">
        <f>SUMIFS($J$2:J10,$M$2:M10,M10,$F$2:F10,F10)</f>
        <v>550000</v>
      </c>
      <c r="O10" s="62">
        <f t="shared" si="2"/>
        <v>77760000</v>
      </c>
      <c r="P10" s="62">
        <f>SUMIFS($O$2:O10,$M$2:M10,M10,$F$2:F10,F10)</f>
        <v>117660000</v>
      </c>
      <c r="Q10" s="62">
        <f t="shared" si="3"/>
        <v>213.92727272727274</v>
      </c>
    </row>
    <row r="11" spans="1:17" x14ac:dyDescent="0.25">
      <c r="A11" s="62">
        <v>43328</v>
      </c>
      <c r="B11" s="62" t="str">
        <f t="shared" si="0"/>
        <v>Agosto-2018/Mayo-2019</v>
      </c>
      <c r="C11" s="62" t="s">
        <v>24</v>
      </c>
      <c r="D11" s="62" t="str">
        <f t="shared" si="1"/>
        <v>ELM</v>
      </c>
      <c r="E11" s="62" t="s">
        <v>38</v>
      </c>
      <c r="F11" s="62" t="str">
        <f>+VLOOKUP(E11,[1]Vencimientos!$D:$F,3,0)</f>
        <v>Mayo-2019</v>
      </c>
      <c r="G11" s="62">
        <f>+VLOOKUP(E11,[1]Vencimientos!$D:$E,2,0)</f>
        <v>43621</v>
      </c>
      <c r="H11" s="62">
        <v>1</v>
      </c>
      <c r="I11" s="62">
        <v>194.5</v>
      </c>
      <c r="J11" s="62">
        <f>360000*H11</f>
        <v>360000</v>
      </c>
      <c r="K11" s="62">
        <f>+H11*I11*360000</f>
        <v>70020000</v>
      </c>
      <c r="L11" s="62" t="s">
        <v>1</v>
      </c>
      <c r="M11" s="62" t="s">
        <v>32</v>
      </c>
      <c r="N11" s="62">
        <f>SUMIFS($J$2:J11,$M$2:M11,M11,$F$2:F11,F11)</f>
        <v>360000</v>
      </c>
      <c r="O11" s="62">
        <f t="shared" si="2"/>
        <v>70020000</v>
      </c>
      <c r="P11" s="62">
        <f>SUMIFS($O$2:O11,$M$2:M11,M11,$F$2:F11,F11)</f>
        <v>70020000</v>
      </c>
      <c r="Q11" s="62">
        <f t="shared" si="3"/>
        <v>194.5</v>
      </c>
    </row>
    <row r="12" spans="1:17" x14ac:dyDescent="0.25">
      <c r="A12" s="62">
        <v>43328</v>
      </c>
      <c r="B12" s="62" t="str">
        <f t="shared" si="0"/>
        <v>Agosto-2018/Mayo-2019</v>
      </c>
      <c r="C12" s="62" t="s">
        <v>24</v>
      </c>
      <c r="D12" s="62" t="str">
        <f t="shared" si="1"/>
        <v>ELS</v>
      </c>
      <c r="E12" s="62" t="s">
        <v>40</v>
      </c>
      <c r="F12" s="62" t="str">
        <f>+VLOOKUP(E12,[1]Vencimientos!$D:$F,3,0)</f>
        <v>Mayo-2019</v>
      </c>
      <c r="G12" s="62">
        <f>+VLOOKUP(E12,[1]Vencimientos!$D:$E,2,0)</f>
        <v>43621</v>
      </c>
      <c r="H12" s="62">
        <v>8</v>
      </c>
      <c r="I12" s="62">
        <v>194.5</v>
      </c>
      <c r="J12" s="62">
        <f>10000*H12</f>
        <v>80000</v>
      </c>
      <c r="K12" s="62">
        <f>+H12*I12*10000</f>
        <v>15560000</v>
      </c>
      <c r="L12" s="62" t="s">
        <v>1</v>
      </c>
      <c r="M12" s="62" t="s">
        <v>32</v>
      </c>
      <c r="N12" s="62">
        <f>SUMIFS($J$2:J12,$M$2:M12,M12,$F$2:F12,F12)</f>
        <v>440000</v>
      </c>
      <c r="O12" s="62">
        <f t="shared" si="2"/>
        <v>15560000</v>
      </c>
      <c r="P12" s="62">
        <f>SUMIFS($O$2:O12,$M$2:M12,M12,$F$2:F12,F12)</f>
        <v>85580000</v>
      </c>
      <c r="Q12" s="62">
        <f t="shared" si="3"/>
        <v>194.5</v>
      </c>
    </row>
    <row r="13" spans="1:17" x14ac:dyDescent="0.25">
      <c r="A13" s="62">
        <v>43404</v>
      </c>
      <c r="B13" s="62" t="str">
        <f t="shared" si="0"/>
        <v>Octubre-2018/Mayo-2019</v>
      </c>
      <c r="C13" s="62" t="s">
        <v>31</v>
      </c>
      <c r="D13" s="62" t="str">
        <f t="shared" si="1"/>
        <v>ELM</v>
      </c>
      <c r="E13" s="62" t="s">
        <v>38</v>
      </c>
      <c r="F13" s="62" t="str">
        <f>+VLOOKUP(E13,[1]Vencimientos!$D:$F,3,0)</f>
        <v>Mayo-2019</v>
      </c>
      <c r="G13" s="62">
        <f>+VLOOKUP(E13,[1]Vencimientos!$D:$E,2,0)</f>
        <v>43621</v>
      </c>
      <c r="H13" s="62">
        <v>4</v>
      </c>
      <c r="I13" s="62">
        <v>198</v>
      </c>
      <c r="J13" s="62">
        <f>360000*H13</f>
        <v>1440000</v>
      </c>
      <c r="K13" s="62">
        <f>+H13*I13*360000</f>
        <v>285120000</v>
      </c>
      <c r="L13" s="62" t="s">
        <v>1</v>
      </c>
      <c r="M13" s="62" t="s">
        <v>5</v>
      </c>
      <c r="N13" s="62">
        <f>SUMIFS($J$2:J13,$M$2:M13,M13,$F$2:F13,F13)</f>
        <v>1440000</v>
      </c>
      <c r="O13" s="62">
        <f t="shared" si="2"/>
        <v>285120000</v>
      </c>
      <c r="P13" s="62">
        <f>SUMIFS($O$2:O13,$M$2:M13,M13,$F$2:F13,F13)</f>
        <v>285120000</v>
      </c>
      <c r="Q13" s="62">
        <f t="shared" si="3"/>
        <v>198</v>
      </c>
    </row>
    <row r="14" spans="1:17" x14ac:dyDescent="0.25">
      <c r="A14" s="62">
        <v>43404</v>
      </c>
      <c r="B14" s="62" t="str">
        <f t="shared" si="0"/>
        <v>Octubre-2018/Mayo-2019</v>
      </c>
      <c r="C14" s="62" t="s">
        <v>31</v>
      </c>
      <c r="D14" s="62" t="str">
        <f t="shared" si="1"/>
        <v>ELS</v>
      </c>
      <c r="E14" s="62" t="s">
        <v>40</v>
      </c>
      <c r="F14" s="62" t="str">
        <f>+VLOOKUP(E14,[1]Vencimientos!$D:$F,3,0)</f>
        <v>Mayo-2019</v>
      </c>
      <c r="G14" s="62">
        <f>+VLOOKUP(E14,[1]Vencimientos!$D:$E,2,0)</f>
        <v>43621</v>
      </c>
      <c r="H14" s="62">
        <v>6</v>
      </c>
      <c r="I14" s="62">
        <v>198</v>
      </c>
      <c r="J14" s="62">
        <f>10000*H14</f>
        <v>60000</v>
      </c>
      <c r="K14" s="62">
        <f>+H14*I14*10000</f>
        <v>11880000</v>
      </c>
      <c r="L14" s="62" t="s">
        <v>1</v>
      </c>
      <c r="M14" s="62" t="s">
        <v>5</v>
      </c>
      <c r="N14" s="62">
        <f>SUMIFS($J$2:J14,$M$2:M14,M14,$F$2:F14,F14)</f>
        <v>1500000</v>
      </c>
      <c r="O14" s="62">
        <f t="shared" si="2"/>
        <v>11880000</v>
      </c>
      <c r="P14" s="62">
        <f>SUMIFS($O$2:O14,$M$2:M14,M14,$F$2:F14,F14)</f>
        <v>297000000</v>
      </c>
      <c r="Q14" s="62">
        <f t="shared" si="3"/>
        <v>198</v>
      </c>
    </row>
    <row r="15" spans="1:17" x14ac:dyDescent="0.25">
      <c r="A15" s="62">
        <v>43577</v>
      </c>
      <c r="B15" s="62" t="str">
        <f t="shared" si="0"/>
        <v>Abril-2019/Mayo-2019</v>
      </c>
      <c r="C15" s="62" t="s">
        <v>27</v>
      </c>
      <c r="D15" s="62" t="str">
        <f t="shared" si="1"/>
        <v>ELM</v>
      </c>
      <c r="E15" s="62" t="s">
        <v>38</v>
      </c>
      <c r="F15" s="62" t="str">
        <f>+VLOOKUP(E15,[1]Vencimientos!$D:$F,3,0)</f>
        <v>Mayo-2019</v>
      </c>
      <c r="G15" s="62">
        <f>+VLOOKUP(E15,[1]Vencimientos!$D:$E,2,0)</f>
        <v>43621</v>
      </c>
      <c r="H15" s="62">
        <v>1</v>
      </c>
      <c r="I15" s="62">
        <v>201</v>
      </c>
      <c r="J15" s="62">
        <f>360000*H15</f>
        <v>360000</v>
      </c>
      <c r="K15" s="62">
        <f>+H15*I15*360000</f>
        <v>72360000</v>
      </c>
      <c r="L15" s="62" t="s">
        <v>1</v>
      </c>
      <c r="M15" s="62" t="s">
        <v>5</v>
      </c>
      <c r="N15" s="62">
        <f>SUMIFS($J$2:J15,$M$2:M15,M15,$F$2:F15,F15)</f>
        <v>1860000</v>
      </c>
      <c r="O15" s="62">
        <f t="shared" si="2"/>
        <v>72360000</v>
      </c>
      <c r="P15" s="62">
        <f>SUMIFS($O$2:O15,$M$2:M15,M15,$F$2:F15,F15)</f>
        <v>369360000</v>
      </c>
      <c r="Q15" s="62">
        <f t="shared" si="3"/>
        <v>198.58064516129033</v>
      </c>
    </row>
    <row r="16" spans="1:17" x14ac:dyDescent="0.25">
      <c r="A16" s="62">
        <v>43528</v>
      </c>
      <c r="B16" s="62" t="str">
        <f t="shared" si="0"/>
        <v>Marzo-2019/Mayo-2019</v>
      </c>
      <c r="C16" s="62" t="s">
        <v>34</v>
      </c>
      <c r="D16" s="62" t="str">
        <f t="shared" si="1"/>
        <v>ELM</v>
      </c>
      <c r="E16" s="62" t="s">
        <v>38</v>
      </c>
      <c r="F16" s="62" t="str">
        <f>+VLOOKUP(E16,[1]Vencimientos!$D:$F,3,0)</f>
        <v>Mayo-2019</v>
      </c>
      <c r="G16" s="62">
        <f>+VLOOKUP(E16,[1]Vencimientos!$D:$E,2,0)</f>
        <v>43621</v>
      </c>
      <c r="H16" s="62">
        <v>1</v>
      </c>
      <c r="I16" s="62">
        <v>200</v>
      </c>
      <c r="J16" s="62">
        <f>360000*H16</f>
        <v>360000</v>
      </c>
      <c r="K16" s="62">
        <f>+H16*I16*360000</f>
        <v>72000000</v>
      </c>
      <c r="L16" s="62" t="s">
        <v>1</v>
      </c>
      <c r="M16" s="62" t="s">
        <v>2</v>
      </c>
      <c r="N16" s="62">
        <f>SUMIFS($J$2:J16,$M$2:M16,M16,$F$2:F16,F16)</f>
        <v>360000</v>
      </c>
      <c r="O16" s="62">
        <f t="shared" si="2"/>
        <v>72000000</v>
      </c>
      <c r="P16" s="62">
        <f>SUMIFS($O$2:O16,$M$2:M16,M16,$F$2:F16,F16)</f>
        <v>72000000</v>
      </c>
      <c r="Q16" s="62">
        <f t="shared" si="3"/>
        <v>200</v>
      </c>
    </row>
    <row r="17" spans="1:30" x14ac:dyDescent="0.25">
      <c r="A17" s="62">
        <v>43591</v>
      </c>
      <c r="B17" s="62" t="str">
        <f t="shared" si="0"/>
        <v>Mayo-2019/Mayo-2019</v>
      </c>
      <c r="C17" s="62" t="s">
        <v>39</v>
      </c>
      <c r="D17" s="62" t="str">
        <f t="shared" si="1"/>
        <v>ELM</v>
      </c>
      <c r="E17" s="62" t="s">
        <v>38</v>
      </c>
      <c r="F17" s="62" t="str">
        <f>+VLOOKUP(E17,[1]Vencimientos!$D:$F,3,0)</f>
        <v>Mayo-2019</v>
      </c>
      <c r="G17" s="62">
        <f>+VLOOKUP(E17,[1]Vencimientos!$D:$E,2,0)</f>
        <v>43621</v>
      </c>
      <c r="H17" s="62">
        <v>1</v>
      </c>
      <c r="I17" s="62">
        <v>201</v>
      </c>
      <c r="J17" s="62">
        <f>360000*H17</f>
        <v>360000</v>
      </c>
      <c r="K17" s="62">
        <f>+H17*I17*360000</f>
        <v>72360000</v>
      </c>
      <c r="L17" s="62" t="s">
        <v>1</v>
      </c>
      <c r="M17" s="62" t="s">
        <v>3</v>
      </c>
      <c r="N17" s="62">
        <f>SUMIFS($J$2:J17,$M$2:M17,M17,$F$2:F17,F17)</f>
        <v>360000</v>
      </c>
      <c r="O17" s="62">
        <f t="shared" si="2"/>
        <v>72360000</v>
      </c>
      <c r="P17" s="62">
        <f>SUMIFS($O$2:O17,$M$2:M17,M17,$F$2:F17,F17)</f>
        <v>72360000</v>
      </c>
      <c r="Q17" s="62">
        <f t="shared" si="3"/>
        <v>201</v>
      </c>
    </row>
    <row r="18" spans="1:30" x14ac:dyDescent="0.25">
      <c r="A18" s="62">
        <v>43532</v>
      </c>
      <c r="B18" s="62" t="str">
        <f t="shared" si="0"/>
        <v>Marzo-2019/Mayo-2019</v>
      </c>
      <c r="C18" s="62" t="s">
        <v>34</v>
      </c>
      <c r="D18" s="62" t="str">
        <f t="shared" si="1"/>
        <v>ELS</v>
      </c>
      <c r="E18" s="62" t="s">
        <v>40</v>
      </c>
      <c r="F18" s="62" t="str">
        <f>+VLOOKUP(E18,[1]Vencimientos!$D:$F,3,0)</f>
        <v>Mayo-2019</v>
      </c>
      <c r="G18" s="62">
        <f>+VLOOKUP(E18,[1]Vencimientos!$D:$E,2,0)</f>
        <v>43621</v>
      </c>
      <c r="H18" s="62">
        <v>1</v>
      </c>
      <c r="I18" s="62">
        <v>203</v>
      </c>
      <c r="J18" s="62">
        <f>10000*H18</f>
        <v>10000</v>
      </c>
      <c r="K18" s="62">
        <f>+H18*I18*10000</f>
        <v>2030000</v>
      </c>
      <c r="L18" s="62" t="s">
        <v>1</v>
      </c>
      <c r="M18" s="62" t="s">
        <v>4</v>
      </c>
      <c r="N18" s="62">
        <f>SUMIFS($J$2:J18,$M$2:M18,M18,$F$2:F18,F18)</f>
        <v>10000</v>
      </c>
      <c r="O18" s="62">
        <f t="shared" si="2"/>
        <v>2030000</v>
      </c>
      <c r="P18" s="62">
        <f>SUMIFS($O$2:O18,$M$2:M18,M18,$F$2:F18,F18)</f>
        <v>2030000</v>
      </c>
      <c r="Q18" s="62">
        <f t="shared" si="3"/>
        <v>203</v>
      </c>
    </row>
    <row r="19" spans="1:30" ht="15.75" thickBot="1" x14ac:dyDescent="0.3"/>
    <row r="20" spans="1:30" x14ac:dyDescent="0.25">
      <c r="A20" s="81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79"/>
      <c r="O20" s="81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79"/>
    </row>
    <row r="21" spans="1:30" x14ac:dyDescent="0.25">
      <c r="A21" s="16"/>
      <c r="C21" s="92" t="s">
        <v>75</v>
      </c>
      <c r="D21" s="67" t="s">
        <v>74</v>
      </c>
      <c r="E21" s="67" t="s">
        <v>73</v>
      </c>
      <c r="H21" s="78"/>
      <c r="I21" s="78"/>
      <c r="J21" s="95" t="s">
        <v>80</v>
      </c>
      <c r="K21" s="95"/>
      <c r="L21" s="95"/>
      <c r="M21" s="95"/>
      <c r="N21" s="64"/>
      <c r="O21" s="16"/>
      <c r="AD21" s="64"/>
    </row>
    <row r="22" spans="1:30" x14ac:dyDescent="0.25">
      <c r="A22" s="16"/>
      <c r="C22" s="92"/>
      <c r="D22" s="93">
        <v>43313</v>
      </c>
      <c r="E22" s="93"/>
      <c r="G22" s="78"/>
      <c r="H22" s="78"/>
      <c r="I22" s="78"/>
      <c r="J22" s="95"/>
      <c r="K22" s="95"/>
      <c r="L22" s="95"/>
      <c r="M22" s="95"/>
      <c r="N22" s="64"/>
      <c r="O22" s="16"/>
      <c r="P22" s="65" t="s">
        <v>75</v>
      </c>
      <c r="Q22" s="62" t="s">
        <v>24</v>
      </c>
      <c r="R22" s="62" t="s">
        <v>24</v>
      </c>
      <c r="S22" s="62" t="s">
        <v>24</v>
      </c>
      <c r="T22" s="62" t="s">
        <v>24</v>
      </c>
      <c r="X22" s="95" t="s">
        <v>79</v>
      </c>
      <c r="Y22" s="95"/>
      <c r="Z22" s="95"/>
      <c r="AA22" s="95"/>
      <c r="AD22" s="64"/>
    </row>
    <row r="23" spans="1:30" x14ac:dyDescent="0.25">
      <c r="A23" s="16"/>
      <c r="C23" s="42" t="s">
        <v>28</v>
      </c>
      <c r="D23" s="62">
        <f>J2/N2</f>
        <v>1</v>
      </c>
      <c r="E23" s="62">
        <v>194.5</v>
      </c>
      <c r="N23" s="64"/>
      <c r="O23" s="16"/>
      <c r="P23" s="77" t="s">
        <v>32</v>
      </c>
      <c r="Q23" s="54">
        <f>J11/N11</f>
        <v>1</v>
      </c>
      <c r="R23" s="53">
        <f>J11/N12</f>
        <v>0.81818181818181823</v>
      </c>
      <c r="S23" s="54">
        <v>194.5</v>
      </c>
      <c r="T23" s="52">
        <v>194.5</v>
      </c>
      <c r="X23" s="95"/>
      <c r="Y23" s="95"/>
      <c r="Z23" s="95"/>
      <c r="AA23" s="95"/>
      <c r="AD23" s="64"/>
    </row>
    <row r="24" spans="1:30" x14ac:dyDescent="0.25">
      <c r="A24" s="16"/>
      <c r="C24" s="69" t="s">
        <v>72</v>
      </c>
      <c r="D24" s="91">
        <f>(D23*E23)</f>
        <v>194.5</v>
      </c>
      <c r="E24" s="91"/>
      <c r="N24" s="64"/>
      <c r="O24" s="16"/>
      <c r="P24" s="77" t="s">
        <v>32</v>
      </c>
      <c r="Q24" s="47"/>
      <c r="R24" s="46">
        <f>J12/N12</f>
        <v>0.18181818181818182</v>
      </c>
      <c r="S24" s="51"/>
      <c r="T24" s="50">
        <v>194.5</v>
      </c>
      <c r="AD24" s="64"/>
    </row>
    <row r="25" spans="1:30" x14ac:dyDescent="0.25">
      <c r="A25" s="16"/>
      <c r="C25" s="58"/>
      <c r="N25" s="64"/>
      <c r="O25" s="16"/>
      <c r="P25" s="69" t="s">
        <v>72</v>
      </c>
      <c r="Q25" s="76">
        <f>SUMPRODUCT(Q23:Q24,T23:T24)</f>
        <v>194.5</v>
      </c>
      <c r="R25" s="76">
        <f>SUMPRODUCT(R23:R24,T23:T24)</f>
        <v>194.50000000000003</v>
      </c>
      <c r="S25" s="47"/>
      <c r="T25" s="45"/>
      <c r="AD25" s="64"/>
    </row>
    <row r="26" spans="1:30" x14ac:dyDescent="0.25">
      <c r="A26" s="16"/>
      <c r="C26" s="92" t="s">
        <v>75</v>
      </c>
      <c r="D26" s="67" t="s">
        <v>74</v>
      </c>
      <c r="E26" s="67" t="s">
        <v>73</v>
      </c>
      <c r="N26" s="64"/>
      <c r="O26" s="16"/>
      <c r="P26" s="58"/>
      <c r="AD26" s="64"/>
    </row>
    <row r="27" spans="1:30" x14ac:dyDescent="0.25">
      <c r="A27" s="16"/>
      <c r="C27" s="92"/>
      <c r="D27" s="93">
        <v>43313</v>
      </c>
      <c r="E27" s="93"/>
      <c r="N27" s="64"/>
      <c r="O27" s="16"/>
      <c r="AD27" s="64"/>
    </row>
    <row r="28" spans="1:30" x14ac:dyDescent="0.25">
      <c r="A28" s="16"/>
      <c r="C28" s="42" t="s">
        <v>2</v>
      </c>
      <c r="D28" s="62">
        <v>1</v>
      </c>
      <c r="E28" s="62">
        <v>194.5</v>
      </c>
      <c r="N28" s="64"/>
      <c r="O28" s="16"/>
      <c r="AD28" s="64"/>
    </row>
    <row r="29" spans="1:30" x14ac:dyDescent="0.25">
      <c r="A29" s="16"/>
      <c r="C29" s="69" t="s">
        <v>72</v>
      </c>
      <c r="D29" s="91">
        <f>(D28*E28)</f>
        <v>194.5</v>
      </c>
      <c r="E29" s="91"/>
      <c r="N29" s="64"/>
      <c r="O29" s="16"/>
      <c r="P29" s="65" t="s">
        <v>75</v>
      </c>
      <c r="Q29" s="62" t="s">
        <v>31</v>
      </c>
      <c r="R29" s="62" t="s">
        <v>31</v>
      </c>
      <c r="S29" s="62" t="s">
        <v>27</v>
      </c>
      <c r="T29" s="62" t="s">
        <v>31</v>
      </c>
      <c r="U29" s="62" t="s">
        <v>31</v>
      </c>
      <c r="V29" s="62" t="s">
        <v>27</v>
      </c>
      <c r="W29" s="75"/>
      <c r="AD29" s="64"/>
    </row>
    <row r="30" spans="1:30" x14ac:dyDescent="0.25">
      <c r="A30" s="16"/>
      <c r="C30" s="58"/>
      <c r="N30" s="64"/>
      <c r="O30" s="16"/>
      <c r="P30" s="42" t="s">
        <v>5</v>
      </c>
      <c r="Q30" s="54">
        <f>J13/N13</f>
        <v>1</v>
      </c>
      <c r="R30" s="53">
        <f>J13/N14</f>
        <v>0.96</v>
      </c>
      <c r="S30" s="53">
        <f>J13/N15</f>
        <v>0.77419354838709675</v>
      </c>
      <c r="T30" s="54">
        <v>198</v>
      </c>
      <c r="U30" s="53">
        <v>198</v>
      </c>
      <c r="V30" s="52">
        <v>198</v>
      </c>
      <c r="AC30" s="64"/>
    </row>
    <row r="31" spans="1:30" x14ac:dyDescent="0.25">
      <c r="A31" s="16"/>
      <c r="C31" s="104" t="s">
        <v>75</v>
      </c>
      <c r="D31" s="101" t="s">
        <v>78</v>
      </c>
      <c r="E31" s="102"/>
      <c r="F31" s="102"/>
      <c r="G31" s="103"/>
      <c r="H31" s="101" t="s">
        <v>77</v>
      </c>
      <c r="I31" s="102"/>
      <c r="J31" s="102"/>
      <c r="K31" s="103"/>
      <c r="N31" s="64"/>
      <c r="O31" s="16"/>
      <c r="P31" s="42" t="s">
        <v>5</v>
      </c>
      <c r="Q31" s="51" t="s">
        <v>76</v>
      </c>
      <c r="R31">
        <f>J14/N14</f>
        <v>0.04</v>
      </c>
      <c r="S31">
        <f>J14/N15</f>
        <v>3.2258064516129031E-2</v>
      </c>
      <c r="T31" s="51"/>
      <c r="U31">
        <v>198</v>
      </c>
      <c r="V31" s="50">
        <v>198</v>
      </c>
      <c r="AC31" s="64"/>
    </row>
    <row r="32" spans="1:30" x14ac:dyDescent="0.25">
      <c r="A32" s="16"/>
      <c r="C32" s="105"/>
      <c r="D32" s="73">
        <v>43374</v>
      </c>
      <c r="E32" s="73">
        <v>43374</v>
      </c>
      <c r="F32" s="73">
        <v>43525</v>
      </c>
      <c r="G32" s="73">
        <v>43525</v>
      </c>
      <c r="H32" s="73">
        <v>43374</v>
      </c>
      <c r="I32" s="73">
        <v>43374</v>
      </c>
      <c r="J32" s="73">
        <v>43525</v>
      </c>
      <c r="K32" s="73">
        <v>43525</v>
      </c>
      <c r="N32" s="64"/>
      <c r="O32" s="16"/>
      <c r="P32" s="42" t="s">
        <v>5</v>
      </c>
      <c r="Q32" s="51" t="s">
        <v>76</v>
      </c>
      <c r="R32" t="s">
        <v>76</v>
      </c>
      <c r="S32">
        <f>J15/N15</f>
        <v>0.19354838709677419</v>
      </c>
      <c r="T32" s="51"/>
      <c r="V32" s="50">
        <v>201</v>
      </c>
      <c r="AC32" s="64"/>
    </row>
    <row r="33" spans="1:30" x14ac:dyDescent="0.25">
      <c r="A33" s="16"/>
      <c r="C33" s="42" t="s">
        <v>32</v>
      </c>
      <c r="D33" s="56">
        <f>J4/N4</f>
        <v>1</v>
      </c>
      <c r="E33" s="56">
        <f>$J4/$N5</f>
        <v>0.96</v>
      </c>
      <c r="F33" s="56"/>
      <c r="G33" s="56"/>
      <c r="H33" s="54">
        <v>198</v>
      </c>
      <c r="I33" s="53">
        <v>198</v>
      </c>
      <c r="J33" s="53"/>
      <c r="K33" s="52"/>
      <c r="N33" s="64"/>
      <c r="O33" s="16"/>
      <c r="P33" s="69" t="s">
        <v>72</v>
      </c>
      <c r="Q33" s="72">
        <f>SUMPRODUCT(Q30:Q32,T30:T32)</f>
        <v>198</v>
      </c>
      <c r="R33" s="72">
        <f>SUMPRODUCT(R30:R32,U30:U32)</f>
        <v>197.99999999999997</v>
      </c>
      <c r="S33" s="72">
        <f>SUMPRODUCT(S30:S32,V30:V32)</f>
        <v>198.58064516129031</v>
      </c>
      <c r="T33" s="47"/>
      <c r="U33" s="46"/>
      <c r="V33" s="45"/>
      <c r="AC33" s="64"/>
    </row>
    <row r="34" spans="1:30" x14ac:dyDescent="0.25">
      <c r="A34" s="16"/>
      <c r="C34" s="42" t="s">
        <v>32</v>
      </c>
      <c r="D34" s="20" t="s">
        <v>76</v>
      </c>
      <c r="E34" s="20">
        <f>J5/N5</f>
        <v>0.04</v>
      </c>
      <c r="F34" s="20"/>
      <c r="G34" s="20"/>
      <c r="H34" s="51"/>
      <c r="I34">
        <v>198</v>
      </c>
      <c r="K34" s="50"/>
      <c r="N34" s="64"/>
      <c r="O34" s="16"/>
      <c r="AD34" s="64"/>
    </row>
    <row r="35" spans="1:30" x14ac:dyDescent="0.25">
      <c r="A35" s="16"/>
      <c r="C35" s="42" t="s">
        <v>32</v>
      </c>
      <c r="D35" s="20" t="s">
        <v>76</v>
      </c>
      <c r="E35" s="20" t="s">
        <v>76</v>
      </c>
      <c r="F35" s="20">
        <f>J6/N6</f>
        <v>1</v>
      </c>
      <c r="G35" s="20">
        <f>J6/N7</f>
        <v>0.97297297297297303</v>
      </c>
      <c r="H35" s="51"/>
      <c r="J35">
        <v>215</v>
      </c>
      <c r="K35" s="50">
        <v>215</v>
      </c>
      <c r="N35" s="64"/>
      <c r="O35" s="16"/>
      <c r="P35" s="92" t="s">
        <v>75</v>
      </c>
      <c r="Q35" s="67" t="s">
        <v>74</v>
      </c>
      <c r="R35" s="67" t="s">
        <v>73</v>
      </c>
      <c r="AD35" s="64"/>
    </row>
    <row r="36" spans="1:30" x14ac:dyDescent="0.25">
      <c r="A36" s="16"/>
      <c r="C36" s="42" t="s">
        <v>32</v>
      </c>
      <c r="D36" s="20" t="s">
        <v>76</v>
      </c>
      <c r="E36" s="20" t="s">
        <v>76</v>
      </c>
      <c r="F36" s="20" t="s">
        <v>76</v>
      </c>
      <c r="G36" s="20">
        <f>J7/N7</f>
        <v>2.7027027027027029E-2</v>
      </c>
      <c r="H36" s="51"/>
      <c r="K36" s="50">
        <v>218</v>
      </c>
      <c r="N36" s="64"/>
      <c r="O36" s="16"/>
      <c r="P36" s="92"/>
      <c r="Q36" s="94" t="s">
        <v>34</v>
      </c>
      <c r="R36" s="94"/>
      <c r="AD36" s="64"/>
    </row>
    <row r="37" spans="1:30" x14ac:dyDescent="0.25">
      <c r="A37" s="16"/>
      <c r="C37" s="69" t="s">
        <v>72</v>
      </c>
      <c r="D37" s="61">
        <f>SUMPRODUCT(D33:D36,H33:H36)</f>
        <v>198</v>
      </c>
      <c r="E37" s="61">
        <f>SUMPRODUCT(E33:E36,I33:I36)</f>
        <v>197.99999999999997</v>
      </c>
      <c r="F37" s="61">
        <f>SUMPRODUCT(F35,J35)</f>
        <v>215</v>
      </c>
      <c r="G37" s="71">
        <f>SUMPRODUCT(G35:G36,K35:K36)</f>
        <v>215.08108108108109</v>
      </c>
      <c r="H37" s="47"/>
      <c r="I37" s="46"/>
      <c r="J37" s="46"/>
      <c r="K37" s="45"/>
      <c r="N37" s="64"/>
      <c r="O37" s="16"/>
      <c r="P37" s="42" t="s">
        <v>2</v>
      </c>
      <c r="Q37" s="62">
        <v>1</v>
      </c>
      <c r="R37" s="62">
        <v>200</v>
      </c>
      <c r="AD37" s="64"/>
    </row>
    <row r="38" spans="1:30" x14ac:dyDescent="0.25">
      <c r="A38" s="16"/>
      <c r="N38" s="64"/>
      <c r="O38" s="16"/>
      <c r="P38" s="69" t="s">
        <v>72</v>
      </c>
      <c r="Q38" s="99">
        <f>(Q37*R37)</f>
        <v>200</v>
      </c>
      <c r="R38" s="100"/>
      <c r="AD38" s="64"/>
    </row>
    <row r="39" spans="1:30" x14ac:dyDescent="0.25">
      <c r="A39" s="16"/>
      <c r="C39" s="92" t="s">
        <v>75</v>
      </c>
      <c r="D39" s="70" t="s">
        <v>74</v>
      </c>
      <c r="E39" s="70" t="s">
        <v>73</v>
      </c>
      <c r="N39" s="64"/>
      <c r="O39" s="16"/>
      <c r="AD39" s="64"/>
    </row>
    <row r="40" spans="1:30" x14ac:dyDescent="0.25">
      <c r="A40" s="16"/>
      <c r="C40" s="92"/>
      <c r="D40" s="93">
        <v>43435</v>
      </c>
      <c r="E40" s="93"/>
      <c r="N40" s="64"/>
      <c r="O40" s="16"/>
      <c r="P40" s="92" t="s">
        <v>75</v>
      </c>
      <c r="Q40" s="67" t="s">
        <v>74</v>
      </c>
      <c r="R40" s="67" t="s">
        <v>73</v>
      </c>
      <c r="AD40" s="64"/>
    </row>
    <row r="41" spans="1:30" x14ac:dyDescent="0.25">
      <c r="A41" s="16"/>
      <c r="C41" s="42" t="s">
        <v>4</v>
      </c>
      <c r="D41" s="62">
        <v>1</v>
      </c>
      <c r="E41" s="62">
        <v>206</v>
      </c>
      <c r="N41" s="64"/>
      <c r="O41" s="16"/>
      <c r="P41" s="92"/>
      <c r="Q41" s="94" t="s">
        <v>39</v>
      </c>
      <c r="R41" s="94"/>
      <c r="AD41" s="64"/>
    </row>
    <row r="42" spans="1:30" x14ac:dyDescent="0.25">
      <c r="A42" s="16"/>
      <c r="C42" s="69" t="s">
        <v>72</v>
      </c>
      <c r="D42" s="91">
        <f>(D41*E41)</f>
        <v>206</v>
      </c>
      <c r="E42" s="91"/>
      <c r="N42" s="64"/>
      <c r="O42" s="16"/>
      <c r="P42" s="42" t="s">
        <v>3</v>
      </c>
      <c r="Q42" s="62">
        <v>1</v>
      </c>
      <c r="R42" s="62">
        <v>201</v>
      </c>
      <c r="AD42" s="64"/>
    </row>
    <row r="43" spans="1:30" x14ac:dyDescent="0.25">
      <c r="A43" s="16"/>
      <c r="N43" s="64"/>
      <c r="O43" s="16"/>
      <c r="P43" s="69" t="s">
        <v>72</v>
      </c>
      <c r="Q43" s="99">
        <f>Q42*R42</f>
        <v>201</v>
      </c>
      <c r="R43" s="100"/>
      <c r="AD43" s="64"/>
    </row>
    <row r="44" spans="1:30" x14ac:dyDescent="0.25">
      <c r="A44" s="16"/>
      <c r="N44" s="64"/>
      <c r="O44" s="16"/>
      <c r="AD44" s="64"/>
    </row>
    <row r="45" spans="1:30" x14ac:dyDescent="0.25">
      <c r="A45" s="16"/>
      <c r="C45" s="97" t="s">
        <v>75</v>
      </c>
      <c r="D45" s="96" t="s">
        <v>74</v>
      </c>
      <c r="E45" s="96"/>
      <c r="F45" s="96" t="s">
        <v>73</v>
      </c>
      <c r="G45" s="96"/>
      <c r="N45" s="64"/>
      <c r="O45" s="16"/>
      <c r="AD45" s="64"/>
    </row>
    <row r="46" spans="1:30" x14ac:dyDescent="0.25">
      <c r="A46" s="16"/>
      <c r="C46" s="98"/>
      <c r="D46" s="68">
        <v>43435</v>
      </c>
      <c r="E46" s="68">
        <v>43525</v>
      </c>
      <c r="F46" s="68">
        <v>43435</v>
      </c>
      <c r="G46" s="68">
        <v>43525</v>
      </c>
      <c r="N46" s="64"/>
      <c r="O46" s="16"/>
      <c r="P46" s="92" t="s">
        <v>75</v>
      </c>
      <c r="Q46" s="67" t="s">
        <v>74</v>
      </c>
      <c r="R46" s="67" t="s">
        <v>73</v>
      </c>
      <c r="AD46" s="64"/>
    </row>
    <row r="47" spans="1:30" x14ac:dyDescent="0.25">
      <c r="A47" s="16"/>
      <c r="C47" s="42" t="s">
        <v>5</v>
      </c>
      <c r="D47" s="54">
        <v>1</v>
      </c>
      <c r="E47" s="52"/>
      <c r="F47" s="54">
        <v>210</v>
      </c>
      <c r="G47" s="66">
        <v>210</v>
      </c>
      <c r="N47" s="64"/>
      <c r="O47" s="16"/>
      <c r="P47" s="92"/>
      <c r="Q47" s="94" t="s">
        <v>34</v>
      </c>
      <c r="R47" s="94"/>
      <c r="AD47" s="64"/>
    </row>
    <row r="48" spans="1:30" x14ac:dyDescent="0.25">
      <c r="C48" s="42" t="s">
        <v>5</v>
      </c>
      <c r="D48" s="51"/>
      <c r="E48" s="50">
        <v>1</v>
      </c>
      <c r="F48" s="51"/>
      <c r="G48" s="63">
        <v>216</v>
      </c>
      <c r="P48" s="42" t="s">
        <v>4</v>
      </c>
      <c r="Q48" s="62">
        <v>1</v>
      </c>
      <c r="R48" s="62">
        <v>203</v>
      </c>
    </row>
    <row r="49" spans="3:23" x14ac:dyDescent="0.25">
      <c r="C49" s="69" t="s">
        <v>72</v>
      </c>
      <c r="D49" s="61">
        <f>SUMPRODUCT(D47:D48,F47:F48)</f>
        <v>210</v>
      </c>
      <c r="E49" s="61">
        <f>SUMPRODUCT(E47:E48,G47:G48)</f>
        <v>216</v>
      </c>
      <c r="F49" s="47"/>
      <c r="G49" s="45"/>
      <c r="P49" s="69" t="s">
        <v>72</v>
      </c>
      <c r="Q49" s="99">
        <f>Q48*R48</f>
        <v>203</v>
      </c>
      <c r="R49" s="100"/>
    </row>
    <row r="51" spans="3:23" x14ac:dyDescent="0.25">
      <c r="C51" s="106" t="s">
        <v>81</v>
      </c>
      <c r="D51" s="106"/>
      <c r="E51" s="106"/>
      <c r="F51" s="106"/>
      <c r="G51" s="106"/>
      <c r="H51" s="106"/>
      <c r="P51" s="106" t="s">
        <v>71</v>
      </c>
      <c r="Q51" s="106"/>
      <c r="R51" s="106"/>
      <c r="S51" s="106"/>
      <c r="T51" s="106"/>
      <c r="U51" s="106"/>
    </row>
    <row r="52" spans="3:23" x14ac:dyDescent="0.25">
      <c r="C52" s="106"/>
      <c r="D52" s="106"/>
      <c r="E52" s="106"/>
      <c r="F52" s="106"/>
      <c r="G52" s="106"/>
      <c r="H52" s="106"/>
      <c r="P52" s="106"/>
      <c r="Q52" s="106"/>
      <c r="R52" s="106"/>
      <c r="S52" s="106"/>
      <c r="T52" s="106"/>
      <c r="U52" s="106"/>
    </row>
    <row r="53" spans="3:23" x14ac:dyDescent="0.25">
      <c r="C53" s="42" t="s">
        <v>70</v>
      </c>
      <c r="D53" s="59">
        <v>43313</v>
      </c>
      <c r="E53" s="59">
        <v>43374</v>
      </c>
      <c r="F53" s="59">
        <v>43435</v>
      </c>
      <c r="G53" s="59">
        <v>43525</v>
      </c>
      <c r="H53" s="59">
        <v>43556</v>
      </c>
      <c r="P53" s="42" t="s">
        <v>70</v>
      </c>
      <c r="Q53" s="59">
        <v>43313</v>
      </c>
      <c r="R53" s="59">
        <v>43374</v>
      </c>
      <c r="S53" s="59">
        <v>43525</v>
      </c>
      <c r="T53" s="59">
        <v>43556</v>
      </c>
      <c r="U53" s="59">
        <v>43586</v>
      </c>
      <c r="W53" s="58"/>
    </row>
    <row r="54" spans="3:23" x14ac:dyDescent="0.25">
      <c r="C54" s="74" t="s">
        <v>28</v>
      </c>
      <c r="D54" s="57">
        <f>D24</f>
        <v>194.5</v>
      </c>
      <c r="E54" s="56">
        <f>D29</f>
        <v>194.5</v>
      </c>
      <c r="F54" s="56">
        <f>D24</f>
        <v>194.5</v>
      </c>
      <c r="G54" s="56"/>
      <c r="H54" s="55"/>
      <c r="P54" s="74" t="s">
        <v>32</v>
      </c>
      <c r="Q54" s="57">
        <f>R25</f>
        <v>194.50000000000003</v>
      </c>
      <c r="R54" s="56">
        <f>$R$25</f>
        <v>194.50000000000003</v>
      </c>
      <c r="S54" s="56"/>
      <c r="T54" s="56"/>
      <c r="U54" s="55"/>
      <c r="W54" s="49"/>
    </row>
    <row r="55" spans="3:23" x14ac:dyDescent="0.25">
      <c r="C55" s="74" t="s">
        <v>2</v>
      </c>
      <c r="D55" s="36">
        <f>D29</f>
        <v>194.5</v>
      </c>
      <c r="E55" s="20">
        <f>D24</f>
        <v>194.5</v>
      </c>
      <c r="F55" s="20">
        <f>D29</f>
        <v>194.5</v>
      </c>
      <c r="G55" s="20"/>
      <c r="H55" s="48"/>
      <c r="P55" s="74" t="s">
        <v>5</v>
      </c>
      <c r="Q55" s="36"/>
      <c r="R55" s="20">
        <f>$R$33</f>
        <v>197.99999999999997</v>
      </c>
      <c r="S55" s="20"/>
      <c r="T55" s="20">
        <f>201</f>
        <v>201</v>
      </c>
      <c r="U55" s="48">
        <v>201</v>
      </c>
      <c r="W55" s="49"/>
    </row>
    <row r="56" spans="3:23" x14ac:dyDescent="0.25">
      <c r="C56" s="74" t="s">
        <v>32</v>
      </c>
      <c r="D56" s="36"/>
      <c r="E56" s="20">
        <f>E37</f>
        <v>197.99999999999997</v>
      </c>
      <c r="F56" s="20">
        <f>E37</f>
        <v>197.99999999999997</v>
      </c>
      <c r="G56" s="20">
        <f>G37</f>
        <v>215.08108108108109</v>
      </c>
      <c r="H56" s="48">
        <f>G37</f>
        <v>215.08108108108109</v>
      </c>
      <c r="P56" s="74" t="s">
        <v>2</v>
      </c>
      <c r="Q56" s="36"/>
      <c r="R56" s="20"/>
      <c r="S56" s="20">
        <f>$Q$38</f>
        <v>200</v>
      </c>
      <c r="T56" s="20">
        <f>$Q$38</f>
        <v>200</v>
      </c>
      <c r="U56" s="48">
        <f>$Q$38</f>
        <v>200</v>
      </c>
      <c r="W56" s="49"/>
    </row>
    <row r="57" spans="3:23" x14ac:dyDescent="0.25">
      <c r="C57" s="74" t="s">
        <v>4</v>
      </c>
      <c r="D57" s="36"/>
      <c r="E57" s="20"/>
      <c r="F57" s="20">
        <v>206</v>
      </c>
      <c r="G57" s="20"/>
      <c r="H57" s="48"/>
      <c r="P57" s="74" t="s">
        <v>3</v>
      </c>
      <c r="Q57" s="36"/>
      <c r="R57" s="20"/>
      <c r="S57" s="20"/>
      <c r="T57" s="20"/>
      <c r="U57" s="48">
        <f>Q43</f>
        <v>201</v>
      </c>
      <c r="W57" s="49"/>
    </row>
    <row r="58" spans="3:23" x14ac:dyDescent="0.25">
      <c r="C58" s="74" t="s">
        <v>5</v>
      </c>
      <c r="D58" s="36"/>
      <c r="E58" s="20"/>
      <c r="F58" s="20">
        <v>210</v>
      </c>
      <c r="G58" s="20">
        <f>E49</f>
        <v>216</v>
      </c>
      <c r="H58" s="48">
        <f>E49</f>
        <v>216</v>
      </c>
      <c r="P58" s="74" t="s">
        <v>4</v>
      </c>
      <c r="Q58" s="85"/>
      <c r="R58" s="86"/>
      <c r="S58" s="86">
        <f>$Q$49</f>
        <v>203</v>
      </c>
      <c r="T58" s="86">
        <f>$Q$49</f>
        <v>203</v>
      </c>
      <c r="U58" s="87">
        <f>$Q$49</f>
        <v>203</v>
      </c>
    </row>
    <row r="59" spans="3:23" x14ac:dyDescent="0.25">
      <c r="C59" s="74" t="s">
        <v>69</v>
      </c>
      <c r="D59" s="43">
        <f>D55</f>
        <v>194.5</v>
      </c>
      <c r="E59" s="43">
        <f>E55</f>
        <v>194.5</v>
      </c>
      <c r="F59" s="107">
        <f>F56</f>
        <v>197.99999999999997</v>
      </c>
      <c r="G59" s="43">
        <f>(G56+G58)/2</f>
        <v>215.54054054054055</v>
      </c>
      <c r="H59" s="107">
        <f>(H56+H58)/2</f>
        <v>215.54054054054055</v>
      </c>
      <c r="P59" s="74" t="s">
        <v>69</v>
      </c>
      <c r="Q59" s="88">
        <f>Q54</f>
        <v>194.50000000000003</v>
      </c>
      <c r="R59" s="88">
        <f>AVERAGE(R54:R55)</f>
        <v>196.25</v>
      </c>
      <c r="S59" s="88">
        <f>AVERAGE(S56,S58)</f>
        <v>201.5</v>
      </c>
      <c r="T59" s="88">
        <f>T56</f>
        <v>200</v>
      </c>
      <c r="U59" s="88">
        <f>AVERAGE(U56:U57)</f>
        <v>200.5</v>
      </c>
    </row>
    <row r="60" spans="3:23" x14ac:dyDescent="0.25">
      <c r="C60" s="42" t="s">
        <v>68</v>
      </c>
      <c r="D60" s="43">
        <f>(ABS(D54-D59)+ABS(D55-D59))/2</f>
        <v>0</v>
      </c>
      <c r="E60" s="43">
        <f>(ABS(E54-E59)+ABS(E55-E59)+ABS(E56-E59))/3</f>
        <v>1.1666666666666572</v>
      </c>
      <c r="F60" s="107">
        <f>(ABS(F54-F59)+ABS(F55-F59)+ABS(F56-F59)+ABS(F57-F59)+ABS(F58-F59))/5</f>
        <v>5.4</v>
      </c>
      <c r="G60" s="43">
        <f>(ABS(G56-G59)+ABS(G58-G59))/2</f>
        <v>0.45945945945945255</v>
      </c>
      <c r="H60" s="107">
        <f>(ABS(H56-H59)+ABS(H58-H59))/2</f>
        <v>0.45945945945945255</v>
      </c>
      <c r="P60" s="42" t="s">
        <v>68</v>
      </c>
      <c r="Q60" s="43">
        <v>0</v>
      </c>
      <c r="R60" s="43">
        <f>(ABS(R54-R59)+ABS(R55-R59))/2</f>
        <v>1.7499999999999716</v>
      </c>
      <c r="S60" s="43">
        <f>(ABS(S56-S59)+ABS(S58-S59))/2</f>
        <v>1.5</v>
      </c>
      <c r="T60" s="43">
        <f>(ABS(T55-T59)+ABS(T56-T59)+ABS(T58-T59))/3</f>
        <v>1.3333333333333333</v>
      </c>
      <c r="U60" s="43">
        <f>(ABS(U55-U59)+ABS(U56-U59)+ABS(U57-U59)+ABS(U58-U59))/4</f>
        <v>1</v>
      </c>
    </row>
    <row r="61" spans="3:23" x14ac:dyDescent="0.25">
      <c r="C61" s="40" t="s">
        <v>84</v>
      </c>
      <c r="D61" s="41">
        <f>D59-D60</f>
        <v>194.5</v>
      </c>
      <c r="E61" s="41">
        <f>E59-E60</f>
        <v>193.33333333333334</v>
      </c>
      <c r="F61" s="107">
        <f>F59-F60</f>
        <v>192.59999999999997</v>
      </c>
      <c r="G61" s="41">
        <f>G59-G60</f>
        <v>215.08108108108109</v>
      </c>
      <c r="H61" s="107">
        <f>H59-H60</f>
        <v>215.08108108108109</v>
      </c>
      <c r="P61" s="40" t="s">
        <v>67</v>
      </c>
      <c r="Q61" s="41">
        <f>Q59-Q60</f>
        <v>194.50000000000003</v>
      </c>
      <c r="R61" s="41">
        <f>R59-R60</f>
        <v>194.50000000000003</v>
      </c>
      <c r="S61" s="41">
        <f>S59-S60</f>
        <v>200</v>
      </c>
      <c r="T61" s="41">
        <f>T59-T60</f>
        <v>198.66666666666666</v>
      </c>
      <c r="U61" s="41">
        <f>U59-U60</f>
        <v>199.5</v>
      </c>
    </row>
    <row r="62" spans="3:23" x14ac:dyDescent="0.25">
      <c r="C62" s="113" t="s">
        <v>85</v>
      </c>
      <c r="D62" s="114">
        <f>D59+D60</f>
        <v>194.5</v>
      </c>
      <c r="E62" s="114">
        <f>E59+E60</f>
        <v>195.66666666666666</v>
      </c>
      <c r="F62" s="115">
        <f>F59+F60</f>
        <v>203.39999999999998</v>
      </c>
      <c r="G62" s="114">
        <f>G59+G60</f>
        <v>216</v>
      </c>
      <c r="H62" s="115">
        <f>H59+H60</f>
        <v>216</v>
      </c>
      <c r="P62" s="113" t="s">
        <v>66</v>
      </c>
      <c r="Q62" s="114">
        <f>Q59+Q60</f>
        <v>194.50000000000003</v>
      </c>
      <c r="R62" s="114">
        <f>R59+R60</f>
        <v>197.99999999999997</v>
      </c>
      <c r="S62" s="114">
        <f>S59+S60</f>
        <v>203</v>
      </c>
      <c r="T62" s="114">
        <f>T59+T60</f>
        <v>201.33333333333334</v>
      </c>
      <c r="U62" s="114">
        <f>U59+U60</f>
        <v>201.5</v>
      </c>
    </row>
    <row r="63" spans="3:23" s="117" customFormat="1" ht="18.75" customHeight="1" x14ac:dyDescent="0.25">
      <c r="C63" s="108"/>
      <c r="D63" s="116"/>
      <c r="E63" s="116"/>
      <c r="F63" s="116"/>
      <c r="G63" s="116"/>
      <c r="H63" s="116"/>
    </row>
    <row r="64" spans="3:23" s="117" customFormat="1" x14ac:dyDescent="0.25">
      <c r="C64" s="108"/>
      <c r="D64" s="116"/>
      <c r="E64" s="116"/>
      <c r="F64" s="116"/>
      <c r="G64" s="116"/>
      <c r="H64" s="116"/>
    </row>
    <row r="67" spans="3:26" x14ac:dyDescent="0.25">
      <c r="C67" s="42" t="s">
        <v>70</v>
      </c>
      <c r="D67" s="109">
        <v>43313</v>
      </c>
      <c r="E67" s="109">
        <v>43344</v>
      </c>
      <c r="F67" s="109">
        <v>43374</v>
      </c>
      <c r="G67" s="109">
        <v>43405</v>
      </c>
      <c r="H67" s="109">
        <v>43435</v>
      </c>
      <c r="I67" s="109">
        <v>43466</v>
      </c>
      <c r="J67" s="109">
        <v>43497</v>
      </c>
      <c r="K67" s="109">
        <v>43525</v>
      </c>
      <c r="L67" s="109">
        <v>43556</v>
      </c>
      <c r="P67" s="62"/>
      <c r="Q67" s="109">
        <v>43313</v>
      </c>
      <c r="R67" s="109">
        <v>43344</v>
      </c>
      <c r="S67" s="109">
        <v>43374</v>
      </c>
      <c r="T67" s="109">
        <v>43405</v>
      </c>
      <c r="U67" s="109">
        <v>43435</v>
      </c>
      <c r="V67" s="109">
        <v>43466</v>
      </c>
      <c r="W67" s="109">
        <v>43497</v>
      </c>
      <c r="X67" s="109">
        <v>43525</v>
      </c>
      <c r="Y67" s="109">
        <v>43556</v>
      </c>
      <c r="Z67" s="109">
        <v>43586</v>
      </c>
    </row>
    <row r="68" spans="3:26" x14ac:dyDescent="0.25">
      <c r="C68" s="42" t="s">
        <v>28</v>
      </c>
      <c r="D68" s="62">
        <v>194.5</v>
      </c>
      <c r="E68" s="62">
        <v>194.5</v>
      </c>
      <c r="F68" s="62">
        <v>194.5</v>
      </c>
      <c r="G68" s="62">
        <v>194.5</v>
      </c>
      <c r="H68" s="110">
        <v>194.5</v>
      </c>
      <c r="I68" s="110"/>
      <c r="J68" s="110"/>
      <c r="K68" s="62"/>
      <c r="L68" s="62"/>
      <c r="P68" s="42" t="s">
        <v>32</v>
      </c>
      <c r="Q68" s="62">
        <v>194.50000000000003</v>
      </c>
      <c r="R68" s="62">
        <v>194.50000000000003</v>
      </c>
      <c r="S68" s="62">
        <v>194.50000000000003</v>
      </c>
      <c r="T68" s="62">
        <v>194.50000000000003</v>
      </c>
      <c r="U68" s="62">
        <v>194.50000000000003</v>
      </c>
      <c r="V68" s="62"/>
      <c r="W68" s="62"/>
      <c r="X68" s="62"/>
      <c r="Y68" s="62"/>
      <c r="Z68" s="62"/>
    </row>
    <row r="69" spans="3:26" x14ac:dyDescent="0.25">
      <c r="C69" s="42" t="s">
        <v>2</v>
      </c>
      <c r="D69" s="62">
        <v>194.5</v>
      </c>
      <c r="E69" s="62">
        <v>194.5</v>
      </c>
      <c r="F69" s="62">
        <v>194.5</v>
      </c>
      <c r="G69" s="62">
        <v>194.5</v>
      </c>
      <c r="H69" s="110">
        <v>194.5</v>
      </c>
      <c r="I69" s="110"/>
      <c r="J69" s="110"/>
      <c r="K69" s="62"/>
      <c r="L69" s="62"/>
      <c r="P69" s="42" t="s">
        <v>5</v>
      </c>
      <c r="Q69" s="62"/>
      <c r="R69" s="62"/>
      <c r="S69" s="62">
        <v>197.99999999999997</v>
      </c>
      <c r="T69" s="62">
        <v>197.99999999999997</v>
      </c>
      <c r="U69" s="62">
        <v>197.99999999999997</v>
      </c>
      <c r="V69" s="62"/>
      <c r="W69" s="62"/>
      <c r="X69" s="62"/>
      <c r="Y69" s="43">
        <f>201</f>
        <v>201</v>
      </c>
      <c r="Z69" s="62">
        <v>201</v>
      </c>
    </row>
    <row r="70" spans="3:26" x14ac:dyDescent="0.25">
      <c r="C70" s="42" t="s">
        <v>32</v>
      </c>
      <c r="D70" s="62"/>
      <c r="E70" s="62"/>
      <c r="F70" s="62">
        <v>197.99999999999997</v>
      </c>
      <c r="G70" s="62">
        <v>197.99999999999997</v>
      </c>
      <c r="H70" s="111">
        <v>197.99999999999997</v>
      </c>
      <c r="I70" s="111"/>
      <c r="J70" s="111"/>
      <c r="K70" s="43">
        <v>215.08108108108109</v>
      </c>
      <c r="L70" s="43">
        <v>215.08108108108109</v>
      </c>
      <c r="P70" s="42" t="s">
        <v>2</v>
      </c>
      <c r="Q70" s="62"/>
      <c r="R70" s="62"/>
      <c r="S70" s="62"/>
      <c r="T70" s="62"/>
      <c r="U70" s="62"/>
      <c r="V70" s="62">
        <v>200</v>
      </c>
      <c r="W70" s="62">
        <v>200</v>
      </c>
      <c r="X70" s="62">
        <v>200</v>
      </c>
      <c r="Y70" s="43">
        <f>$Q$38</f>
        <v>200</v>
      </c>
      <c r="Z70" s="62">
        <v>200</v>
      </c>
    </row>
    <row r="71" spans="3:26" x14ac:dyDescent="0.25">
      <c r="C71" s="42" t="s">
        <v>4</v>
      </c>
      <c r="D71" s="62"/>
      <c r="E71" s="62"/>
      <c r="F71" s="62"/>
      <c r="G71" s="62"/>
      <c r="H71" s="110">
        <v>206</v>
      </c>
      <c r="I71" s="110"/>
      <c r="J71" s="110"/>
      <c r="K71" s="43"/>
      <c r="L71" s="43"/>
      <c r="P71" s="42" t="s">
        <v>3</v>
      </c>
      <c r="Q71" s="62"/>
      <c r="R71" s="62"/>
      <c r="S71" s="62"/>
      <c r="T71" s="62"/>
      <c r="U71" s="62"/>
      <c r="V71" s="62"/>
      <c r="W71" s="62"/>
      <c r="X71" s="62"/>
      <c r="Y71" s="43"/>
      <c r="Z71" s="62">
        <v>201</v>
      </c>
    </row>
    <row r="72" spans="3:26" x14ac:dyDescent="0.25">
      <c r="C72" s="42" t="s">
        <v>5</v>
      </c>
      <c r="D72" s="62"/>
      <c r="E72" s="62"/>
      <c r="F72" s="62"/>
      <c r="G72" s="62"/>
      <c r="H72" s="110">
        <v>210</v>
      </c>
      <c r="I72" s="110"/>
      <c r="J72" s="110"/>
      <c r="K72" s="43">
        <v>216</v>
      </c>
      <c r="L72" s="43">
        <v>216</v>
      </c>
      <c r="P72" s="42" t="s">
        <v>4</v>
      </c>
      <c r="Q72" s="62"/>
      <c r="R72" s="62"/>
      <c r="S72" s="62"/>
      <c r="T72" s="62"/>
      <c r="U72" s="62"/>
      <c r="V72" s="62">
        <v>203</v>
      </c>
      <c r="W72" s="62">
        <v>203</v>
      </c>
      <c r="X72" s="62">
        <v>203</v>
      </c>
      <c r="Y72" s="43">
        <f>$Q$49</f>
        <v>203</v>
      </c>
      <c r="Z72" s="62">
        <v>203</v>
      </c>
    </row>
    <row r="73" spans="3:26" x14ac:dyDescent="0.25">
      <c r="C73" s="40" t="s">
        <v>86</v>
      </c>
      <c r="D73" s="112">
        <v>192.59999999999997</v>
      </c>
      <c r="E73" s="112">
        <v>192.59999999999997</v>
      </c>
      <c r="F73" s="112">
        <v>192.59999999999997</v>
      </c>
      <c r="G73" s="112">
        <v>192.59999999999997</v>
      </c>
      <c r="H73" s="112">
        <v>192.59999999999997</v>
      </c>
      <c r="I73" s="41">
        <v>215.08108108108109</v>
      </c>
      <c r="J73" s="41">
        <v>215.08108108108109</v>
      </c>
      <c r="K73" s="41">
        <v>215.08108108108109</v>
      </c>
      <c r="L73" s="41">
        <v>215.08108108108109</v>
      </c>
      <c r="P73" s="40" t="s">
        <v>67</v>
      </c>
      <c r="Q73" s="112">
        <v>194.50000000000003</v>
      </c>
      <c r="R73" s="112">
        <v>194.50000000000003</v>
      </c>
      <c r="S73" s="112">
        <v>194.50000000000003</v>
      </c>
      <c r="T73" s="112">
        <v>194.50000000000003</v>
      </c>
      <c r="U73" s="112">
        <v>194.50000000000003</v>
      </c>
      <c r="V73" s="112">
        <v>199.5</v>
      </c>
      <c r="W73" s="112">
        <v>199.5</v>
      </c>
      <c r="X73" s="112">
        <v>199.5</v>
      </c>
      <c r="Y73" s="112">
        <v>199.5</v>
      </c>
      <c r="Z73" s="112">
        <v>199.5</v>
      </c>
    </row>
    <row r="74" spans="3:26" x14ac:dyDescent="0.25">
      <c r="C74" s="40" t="s">
        <v>87</v>
      </c>
      <c r="D74" s="112">
        <v>203.39999999999998</v>
      </c>
      <c r="E74" s="112">
        <v>203.39999999999998</v>
      </c>
      <c r="F74" s="112">
        <v>203.39999999999998</v>
      </c>
      <c r="G74" s="112">
        <v>203.39999999999998</v>
      </c>
      <c r="H74" s="112">
        <v>203.39999999999998</v>
      </c>
      <c r="I74" s="41">
        <v>216</v>
      </c>
      <c r="J74" s="41">
        <v>216</v>
      </c>
      <c r="K74" s="41">
        <v>216</v>
      </c>
      <c r="L74" s="41">
        <v>216</v>
      </c>
      <c r="P74" s="40" t="s">
        <v>66</v>
      </c>
      <c r="Q74" s="112">
        <v>197.99999999999997</v>
      </c>
      <c r="R74" s="112">
        <v>197.99999999999997</v>
      </c>
      <c r="S74" s="112">
        <v>197.99999999999997</v>
      </c>
      <c r="T74" s="112">
        <v>197.99999999999997</v>
      </c>
      <c r="U74" s="112">
        <v>197.99999999999997</v>
      </c>
      <c r="V74" s="112">
        <v>201.5</v>
      </c>
      <c r="W74" s="112">
        <v>201.5</v>
      </c>
      <c r="X74" s="112">
        <v>201.5</v>
      </c>
      <c r="Y74" s="112">
        <v>201.5</v>
      </c>
      <c r="Z74" s="112">
        <v>201.5</v>
      </c>
    </row>
    <row r="75" spans="3:26" x14ac:dyDescent="0.25">
      <c r="D75" s="17"/>
      <c r="E75" s="17"/>
      <c r="F75" s="17"/>
      <c r="G75" s="17"/>
      <c r="H75" s="17"/>
      <c r="I75" s="17"/>
      <c r="J75" s="17"/>
      <c r="K75" s="17"/>
      <c r="L75" s="17"/>
    </row>
    <row r="76" spans="3:26" x14ac:dyDescent="0.25">
      <c r="D76" s="84"/>
      <c r="E76" s="26"/>
      <c r="F76" s="26"/>
      <c r="G76" s="26"/>
      <c r="H76" s="26"/>
      <c r="I76" s="26"/>
      <c r="J76" s="17"/>
      <c r="K76" s="17"/>
      <c r="L76" s="17"/>
    </row>
    <row r="77" spans="3:26" x14ac:dyDescent="0.25">
      <c r="D77" s="84"/>
      <c r="E77" s="26"/>
      <c r="F77" s="26"/>
      <c r="G77" s="26"/>
      <c r="H77" s="26"/>
      <c r="I77" s="26"/>
      <c r="J77" s="17"/>
      <c r="K77" s="17"/>
      <c r="L77" s="17"/>
    </row>
    <row r="78" spans="3:26" x14ac:dyDescent="0.25">
      <c r="D78" s="17"/>
      <c r="E78" s="17"/>
      <c r="F78" s="17"/>
      <c r="G78" s="17"/>
      <c r="H78" s="17"/>
      <c r="I78" s="17"/>
      <c r="J78" s="17"/>
      <c r="K78" s="17"/>
      <c r="L78" s="17"/>
    </row>
    <row r="79" spans="3:26" x14ac:dyDescent="0.25">
      <c r="D79" s="17"/>
      <c r="E79" s="17"/>
      <c r="F79" s="17"/>
      <c r="G79" s="17"/>
      <c r="H79" s="17"/>
      <c r="I79" s="17"/>
      <c r="J79" s="17"/>
      <c r="K79" s="17"/>
      <c r="L79" s="17"/>
    </row>
  </sheetData>
  <mergeCells count="28">
    <mergeCell ref="Q49:R49"/>
    <mergeCell ref="C51:H52"/>
    <mergeCell ref="P51:U52"/>
    <mergeCell ref="Q43:R43"/>
    <mergeCell ref="C45:C46"/>
    <mergeCell ref="D45:E45"/>
    <mergeCell ref="F45:G45"/>
    <mergeCell ref="P46:P47"/>
    <mergeCell ref="Q47:R47"/>
    <mergeCell ref="Q38:R38"/>
    <mergeCell ref="C39:C40"/>
    <mergeCell ref="D40:E40"/>
    <mergeCell ref="P40:P41"/>
    <mergeCell ref="Q41:R41"/>
    <mergeCell ref="D42:E42"/>
    <mergeCell ref="D29:E29"/>
    <mergeCell ref="C31:C32"/>
    <mergeCell ref="D31:G31"/>
    <mergeCell ref="H31:K31"/>
    <mergeCell ref="P35:P36"/>
    <mergeCell ref="Q36:R36"/>
    <mergeCell ref="C21:C22"/>
    <mergeCell ref="J21:M22"/>
    <mergeCell ref="D22:E22"/>
    <mergeCell ref="X22:AA23"/>
    <mergeCell ref="D24:E24"/>
    <mergeCell ref="C26:C27"/>
    <mergeCell ref="D27:E2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Calculo Promedio Ponderado</vt:lpstr>
      <vt:lpstr>Calculo ALFA</vt:lpstr>
      <vt:lpstr>Propuesta XM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Nicolás Poveda Granados</dc:creator>
  <cp:lastModifiedBy>Nicolás Poveda Granados</cp:lastModifiedBy>
  <dcterms:created xsi:type="dcterms:W3CDTF">2020-12-04T13:31:00Z</dcterms:created>
  <dcterms:modified xsi:type="dcterms:W3CDTF">2021-01-05T00:48:16Z</dcterms:modified>
</cp:coreProperties>
</file>